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andalf\Dokumentumok\Jogiosztaly\gats.andrea\dokumentumok\rendelet\2023\"/>
    </mc:Choice>
  </mc:AlternateContent>
  <xr:revisionPtr revIDLastSave="0" documentId="13_ncr:1_{7B210D29-A662-4244-9BA6-73201070689D}" xr6:coauthVersionLast="47" xr6:coauthVersionMax="47" xr10:uidLastSave="{00000000-0000-0000-0000-000000000000}"/>
  <bookViews>
    <workbookView xWindow="-120" yWindow="-120" windowWidth="29040" windowHeight="15840" tabRatio="597" firstSheet="21" activeTab="29" xr2:uid="{00000000-000D-0000-FFFF-FFFF00000000}"/>
  </bookViews>
  <sheets>
    <sheet name="1 kiemelt előirányzatok telj. " sheetId="64" r:id="rId1"/>
    <sheet name="2 mérleg " sheetId="41" r:id="rId2"/>
    <sheet name="3 bev.részl" sheetId="39" r:id="rId3"/>
    <sheet name="4. int.bev." sheetId="66" r:id="rId4"/>
    <sheet name="5 normatíva" sheetId="70" r:id="rId5"/>
    <sheet name="6. int,kiad." sheetId="67" r:id="rId6"/>
    <sheet name="7.létszám ei zárás 2022 év" sheetId="68" r:id="rId7"/>
    <sheet name="8 okt." sheetId="9" r:id="rId8"/>
    <sheet name="9 kult." sheetId="36" r:id="rId9"/>
    <sheet name="10 szoc." sheetId="11" r:id="rId10"/>
    <sheet name="11 eü." sheetId="12" r:id="rId11"/>
    <sheet name="12 Gyerm." sheetId="13" r:id="rId12"/>
    <sheet name="13 egyéb" sheetId="14" r:id="rId13"/>
    <sheet name="14 sport" sheetId="22" r:id="rId14"/>
    <sheet name="15 város.ü.,körny" sheetId="24" r:id="rId15"/>
    <sheet name="16 út-híd" sheetId="25" r:id="rId16"/>
    <sheet name="17 fbev." sheetId="40" r:id="rId17"/>
    <sheet name="18 fkia." sheetId="43" r:id="rId18"/>
    <sheet name="19 pénzeszkváltsa" sheetId="52" r:id="rId19"/>
    <sheet name="20 közvetett támogatás" sheetId="53" r:id="rId20"/>
    <sheet name="21 Eu projektek" sheetId="54" r:id="rId21"/>
    <sheet name="22 többév1" sheetId="55" r:id="rId22"/>
    <sheet name="23 eszközök" sheetId="56" r:id="rId23"/>
    <sheet name="24 források" sheetId="57" r:id="rId24"/>
    <sheet name="25 lakásalapelsz" sheetId="58" r:id="rId25"/>
    <sheet name="26 segély" sheetId="59" r:id="rId26"/>
    <sheet name="27 kataszter" sheetId="60" r:id="rId27"/>
    <sheet name="28 vagyonkimutatás " sheetId="61" r:id="rId28"/>
    <sheet name="29 Részesedések" sheetId="65" r:id="rId29"/>
    <sheet name="30 Lízing" sheetId="63" r:id="rId30"/>
  </sheets>
  <externalReferences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aaaaaaaaaaaaaaaaaaaaaaa" localSheetId="4">#REF!</definedName>
    <definedName name="aaaaaaaaaaaaaaaaaaaaaaa">#REF!</definedName>
    <definedName name="áfaössz16" localSheetId="4">#REF!</definedName>
    <definedName name="áfaössz16">#REF!</definedName>
    <definedName name="besz" localSheetId="0">#REF!</definedName>
    <definedName name="besz" localSheetId="17">#REF!</definedName>
    <definedName name="besz">#REF!</definedName>
    <definedName name="bk" localSheetId="0">#REF!</definedName>
    <definedName name="bk" localSheetId="17">#REF!</definedName>
    <definedName name="bk" localSheetId="4">#REF!</definedName>
    <definedName name="bk" localSheetId="6">#REF!</definedName>
    <definedName name="bk">#REF!</definedName>
    <definedName name="cel_c" localSheetId="0">#REF!</definedName>
    <definedName name="cel_c" localSheetId="17">#REF!</definedName>
    <definedName name="cel_c">#REF!</definedName>
    <definedName name="cel_g" localSheetId="0">#REF!</definedName>
    <definedName name="cel_g" localSheetId="17">#REF!</definedName>
    <definedName name="cel_g">#REF!</definedName>
    <definedName name="cel_k" localSheetId="17">#REF!</definedName>
    <definedName name="cel_k">#REF!</definedName>
    <definedName name="cel_m" localSheetId="17">#REF!</definedName>
    <definedName name="cel_m">#REF!</definedName>
    <definedName name="cel_p" localSheetId="17">#REF!</definedName>
    <definedName name="cel_p">#REF!</definedName>
    <definedName name="css" localSheetId="0">#REF!</definedName>
    <definedName name="css" localSheetId="16">#REF!</definedName>
    <definedName name="css" localSheetId="17">#REF!</definedName>
    <definedName name="css" localSheetId="1">#REF!</definedName>
    <definedName name="css" localSheetId="2">#REF!</definedName>
    <definedName name="css" localSheetId="29">#REF!</definedName>
    <definedName name="css" localSheetId="4">#REF!</definedName>
    <definedName name="css" localSheetId="6">#REF!</definedName>
    <definedName name="css" localSheetId="8">#REF!</definedName>
    <definedName name="css">#REF!</definedName>
    <definedName name="css_k" localSheetId="0">[1]Családsegítés!$C$27:$C$86</definedName>
    <definedName name="css_k">[2]Családsegítés!$C$27:$C$86</definedName>
    <definedName name="css_k_" localSheetId="0">#REF!</definedName>
    <definedName name="css_k_" localSheetId="16">#REF!</definedName>
    <definedName name="css_k_" localSheetId="17">#REF!</definedName>
    <definedName name="css_k_" localSheetId="1">#REF!</definedName>
    <definedName name="css_k_" localSheetId="2">#REF!</definedName>
    <definedName name="css_k_" localSheetId="29">#REF!</definedName>
    <definedName name="css_k_" localSheetId="4">#REF!</definedName>
    <definedName name="css_k_" localSheetId="6">#REF!</definedName>
    <definedName name="css_k_" localSheetId="8">#REF!</definedName>
    <definedName name="css_k_">#REF!</definedName>
    <definedName name="d" localSheetId="17">#REF!</definedName>
    <definedName name="d" localSheetId="4">#REF!</definedName>
    <definedName name="d">#REF!</definedName>
    <definedName name="eredetiköltségvetés2017" localSheetId="4">#REF!</definedName>
    <definedName name="eredetiköltségvetés2017">#REF!</definedName>
    <definedName name="feljéc" localSheetId="4">#REF!</definedName>
    <definedName name="feljéc">#REF!</definedName>
    <definedName name="fff" localSheetId="4">#REF!</definedName>
    <definedName name="fff">#REF!</definedName>
    <definedName name="ffff" localSheetId="0">#REF!</definedName>
    <definedName name="ffff" localSheetId="17">#REF!</definedName>
    <definedName name="ffff" localSheetId="4">#REF!</definedName>
    <definedName name="ffff">#REF!</definedName>
    <definedName name="g" localSheetId="0">#REF!</definedName>
    <definedName name="g" localSheetId="17">#REF!</definedName>
    <definedName name="g">#REF!</definedName>
    <definedName name="gyj" localSheetId="0">#REF!</definedName>
    <definedName name="gyj" localSheetId="16">#REF!</definedName>
    <definedName name="gyj" localSheetId="17">#REF!</definedName>
    <definedName name="gyj" localSheetId="1">#REF!</definedName>
    <definedName name="gyj" localSheetId="2">#REF!</definedName>
    <definedName name="gyj" localSheetId="29">#REF!</definedName>
    <definedName name="gyj" localSheetId="4">#REF!</definedName>
    <definedName name="gyj" localSheetId="6">#REF!</definedName>
    <definedName name="gyj" localSheetId="8">#REF!</definedName>
    <definedName name="gyj">#REF!</definedName>
    <definedName name="gyj_k" localSheetId="0">[1]Gyermekjóléti!$C$27:$C$86</definedName>
    <definedName name="gyj_k">[2]Gyermekjóléti!$C$27:$C$86</definedName>
    <definedName name="gyj_k_" localSheetId="0">#REF!</definedName>
    <definedName name="gyj_k_" localSheetId="16">#REF!</definedName>
    <definedName name="gyj_k_" localSheetId="17">#REF!</definedName>
    <definedName name="gyj_k_" localSheetId="1">#REF!</definedName>
    <definedName name="gyj_k_" localSheetId="2">#REF!</definedName>
    <definedName name="gyj_k_" localSheetId="29">#REF!</definedName>
    <definedName name="gyj_k_" localSheetId="4">#REF!</definedName>
    <definedName name="gyj_k_" localSheetId="6">#REF!</definedName>
    <definedName name="gyj_k_" localSheetId="8">#REF!</definedName>
    <definedName name="gyj_k_">#REF!</definedName>
    <definedName name="gyj_kl" localSheetId="0">#REF!</definedName>
    <definedName name="gyj_kl" localSheetId="17">#REF!</definedName>
    <definedName name="gyj_kl">#REF!</definedName>
    <definedName name="h" localSheetId="4">#REF!</definedName>
    <definedName name="h">#REF!</definedName>
    <definedName name="k" localSheetId="17">#REF!</definedName>
    <definedName name="k">#REF!</definedName>
    <definedName name="kjz" localSheetId="0">#REF!</definedName>
    <definedName name="kjz" localSheetId="16">#REF!</definedName>
    <definedName name="kjz" localSheetId="17">#REF!</definedName>
    <definedName name="kjz" localSheetId="1">#REF!</definedName>
    <definedName name="kjz" localSheetId="2">#REF!</definedName>
    <definedName name="kjz" localSheetId="29">#REF!</definedName>
    <definedName name="kjz" localSheetId="4">#REF!</definedName>
    <definedName name="kjz" localSheetId="6">#REF!</definedName>
    <definedName name="kjz" localSheetId="8">#REF!</definedName>
    <definedName name="kjz">#REF!</definedName>
    <definedName name="kjz_k" localSheetId="0">[1]körjegyzőség!$C$9:$C$28</definedName>
    <definedName name="kjz_k">[2]körjegyzőség!$C$9:$C$28</definedName>
    <definedName name="kjz_k_" localSheetId="0">#REF!</definedName>
    <definedName name="kjz_k_" localSheetId="16">#REF!</definedName>
    <definedName name="kjz_k_" localSheetId="17">#REF!</definedName>
    <definedName name="kjz_k_" localSheetId="1">#REF!</definedName>
    <definedName name="kjz_k_" localSheetId="2">#REF!</definedName>
    <definedName name="kjz_k_" localSheetId="29">#REF!</definedName>
    <definedName name="kjz_k_" localSheetId="4">#REF!</definedName>
    <definedName name="kjz_k_" localSheetId="6">#REF!</definedName>
    <definedName name="kjz_k_" localSheetId="8">#REF!</definedName>
    <definedName name="kjz_k_">#REF!</definedName>
    <definedName name="klj" localSheetId="17">#REF!</definedName>
    <definedName name="klj">#REF!</definedName>
    <definedName name="klj_k_" localSheetId="17">#REF!</definedName>
    <definedName name="klj_k_">#REF!</definedName>
    <definedName name="nev_b" localSheetId="4">#REF!</definedName>
    <definedName name="nev_b">#REF!</definedName>
    <definedName name="nev_c" localSheetId="0">#REF!</definedName>
    <definedName name="nev_c" localSheetId="16">#REF!</definedName>
    <definedName name="nev_c" localSheetId="17">#REF!</definedName>
    <definedName name="nev_c" localSheetId="1">#REF!</definedName>
    <definedName name="nev_c" localSheetId="2">#REF!</definedName>
    <definedName name="nev_c" localSheetId="29">#REF!</definedName>
    <definedName name="nev_c" localSheetId="4">#REF!</definedName>
    <definedName name="nev_c" localSheetId="6">#REF!</definedName>
    <definedName name="nev_c" localSheetId="8">#REF!</definedName>
    <definedName name="nev_c">#REF!</definedName>
    <definedName name="nev_g" localSheetId="0">#REF!</definedName>
    <definedName name="nev_g" localSheetId="16">#REF!</definedName>
    <definedName name="nev_g" localSheetId="17">#REF!</definedName>
    <definedName name="nev_g" localSheetId="1">#REF!</definedName>
    <definedName name="nev_g" localSheetId="2">#REF!</definedName>
    <definedName name="nev_g" localSheetId="29">#REF!</definedName>
    <definedName name="nev_g" localSheetId="4">#REF!</definedName>
    <definedName name="nev_g" localSheetId="6">#REF!</definedName>
    <definedName name="nev_g" localSheetId="8">#REF!</definedName>
    <definedName name="nev_g">#REF!</definedName>
    <definedName name="nev_k" localSheetId="0">#REF!</definedName>
    <definedName name="nev_k" localSheetId="16">#REF!</definedName>
    <definedName name="nev_k" localSheetId="17">#REF!</definedName>
    <definedName name="nev_k" localSheetId="1">#REF!</definedName>
    <definedName name="nev_k" localSheetId="2">#REF!</definedName>
    <definedName name="nev_k" localSheetId="29">#REF!</definedName>
    <definedName name="nev_k" localSheetId="4">#REF!</definedName>
    <definedName name="nev_k" localSheetId="6">#REF!</definedName>
    <definedName name="nev_k" localSheetId="8">#REF!</definedName>
    <definedName name="nev_k">#REF!</definedName>
    <definedName name="nev_k1" localSheetId="4">#REF!</definedName>
    <definedName name="nev_k1">#REF!</definedName>
    <definedName name="normatíva">[3]Családsegítés!$C$27:$C$86</definedName>
    <definedName name="_xlnm.Print_Titles" localSheetId="12">'13 egyéb'!$4:$5</definedName>
    <definedName name="_xlnm.Print_Titles" localSheetId="13">'14 sport'!$5:$6</definedName>
    <definedName name="_xlnm.Print_Titles" localSheetId="16">'17 fbev.'!$2:$4</definedName>
    <definedName name="_xlnm.Print_Titles" localSheetId="17">'18 fkia.'!$1:$5</definedName>
    <definedName name="_xlnm.Print_Titles" localSheetId="18">'19 pénzeszkváltsa'!$3:$5</definedName>
    <definedName name="_xlnm.Print_Titles" localSheetId="27">'28 vagyonkimutatás '!$8:$8</definedName>
    <definedName name="_xlnm.Print_Titles" localSheetId="2">'3 bev.részl'!$4:$6</definedName>
    <definedName name="_xlnm.Print_Titles" localSheetId="4">'5 normatíva'!$5:$5</definedName>
    <definedName name="_xlnm.Print_Titles" localSheetId="6">'7.létszám ei zárás 2022 év'!$1:$7</definedName>
    <definedName name="_xlnm.Print_Titles" localSheetId="8">'9 kult.'!$4:$6</definedName>
    <definedName name="_xlnm.Print_Area" localSheetId="0">'1 kiemelt előirányzatok telj. '!$A$1:$K$22</definedName>
    <definedName name="_xlnm.Print_Area" localSheetId="9">'10 szoc.'!$B$1:$F$47</definedName>
    <definedName name="_xlnm.Print_Area" localSheetId="10">'11 eü.'!$B$2:$F$32</definedName>
    <definedName name="_xlnm.Print_Area" localSheetId="11">'12 Gyerm.'!$B$2:$F$25</definedName>
    <definedName name="_xlnm.Print_Area" localSheetId="12">'13 egyéb'!$B$2:$F$109</definedName>
    <definedName name="_xlnm.Print_Area" localSheetId="13">'14 sport'!$B$2:$F$23</definedName>
    <definedName name="_xlnm.Print_Area" localSheetId="14">'15 város.ü.,körny'!$B$2:$J$27</definedName>
    <definedName name="_xlnm.Print_Area" localSheetId="15">'16 út-híd'!$B$1:$F$29</definedName>
    <definedName name="_xlnm.Print_Area" localSheetId="16">'17 fbev.'!$B$1:$G$48</definedName>
    <definedName name="_xlnm.Print_Area" localSheetId="17">'18 fkia.'!$B$1:$G$130</definedName>
    <definedName name="_xlnm.Print_Area" localSheetId="18">'19 pénzeszkváltsa'!$B$1:$C$12</definedName>
    <definedName name="_xlnm.Print_Area" localSheetId="1">'2 mérleg '!$A$2:$M$60</definedName>
    <definedName name="_xlnm.Print_Area" localSheetId="19">'20 közvetett támogatás'!$A$1:$C$23</definedName>
    <definedName name="_xlnm.Print_Area" localSheetId="20">'21 Eu projektek'!$B$1:$D$80</definedName>
    <definedName name="_xlnm.Print_Area" localSheetId="21">'22 többév1'!$B$1:$H$25</definedName>
    <definedName name="_xlnm.Print_Area" localSheetId="22">'23 eszközök'!$B$4:$G$139</definedName>
    <definedName name="_xlnm.Print_Area" localSheetId="23">'24 források'!$B$2:$G$76</definedName>
    <definedName name="_xlnm.Print_Area" localSheetId="24">'25 lakásalapelsz'!$B$3:$F$226</definedName>
    <definedName name="_xlnm.Print_Area" localSheetId="25">'26 segély'!$B$3:$G$18</definedName>
    <definedName name="_xlnm.Print_Area" localSheetId="26">'27 kataszter'!$A$2:$K$38</definedName>
    <definedName name="_xlnm.Print_Area" localSheetId="27">'28 vagyonkimutatás '!$B$5:$G$90</definedName>
    <definedName name="_xlnm.Print_Area" localSheetId="28">'29 Részesedések'!$B$1:$K$33</definedName>
    <definedName name="_xlnm.Print_Area" localSheetId="2">'3 bev.részl'!$B$1:$J$123</definedName>
    <definedName name="_xlnm.Print_Area" localSheetId="29">'30 Lízing'!$B$2:$E$17</definedName>
    <definedName name="_xlnm.Print_Area" localSheetId="3">'4. int.bev.'!$A$1:$BG$49</definedName>
    <definedName name="_xlnm.Print_Area" localSheetId="4">'5 normatíva'!$A$1:$E$93</definedName>
    <definedName name="_xlnm.Print_Area" localSheetId="5">'6. int,kiad.'!$A$1:$AV$49</definedName>
    <definedName name="_xlnm.Print_Area" localSheetId="6">'7.létszám ei zárás 2022 év'!$A$1:$G$48</definedName>
    <definedName name="_xlnm.Print_Area" localSheetId="7">'8 okt.'!$C$1:$G$39</definedName>
    <definedName name="_xlnm.Print_Area" localSheetId="8">'9 kult.'!$B$1:$F$80</definedName>
    <definedName name="polg" localSheetId="4">#REF!</definedName>
    <definedName name="polg">#REF!</definedName>
    <definedName name="polg.hiv." localSheetId="4">#REF!</definedName>
    <definedName name="polg.hiv.">#REF!</definedName>
    <definedName name="polg.hiv.2" localSheetId="4">#REF!</definedName>
    <definedName name="polg.hiv.2">#REF!</definedName>
    <definedName name="Projektek_2019ei" localSheetId="0">#REF!</definedName>
    <definedName name="Projektek_2019ei" localSheetId="25">#REF!</definedName>
    <definedName name="Projektek_2019ei">#REF!</definedName>
    <definedName name="rmI" localSheetId="25">#REF!</definedName>
    <definedName name="rmI" localSheetId="4">#REF!</definedName>
    <definedName name="rmI">#REF!</definedName>
    <definedName name="x" localSheetId="0">#REF!</definedName>
    <definedName name="x" localSheetId="17">#REF!</definedName>
    <definedName name="x" localSheetId="29">#REF!</definedName>
    <definedName name="x" localSheetId="4">#REF!</definedName>
    <definedName name="x" localSheetId="6">#REF!</definedName>
    <definedName name="x">#REF!</definedName>
    <definedName name="Z_186732C5_520C_4E06_B066_B4F3F0A3E322_.wvu.PrintArea" localSheetId="16" hidden="1">'17 fbev.'!$B$1:$C$34</definedName>
    <definedName name="Z_186732C5_520C_4E06_B066_B4F3F0A3E322_.wvu.PrintArea" localSheetId="1" hidden="1">'2 mérleg '!$A$2:$I$60</definedName>
    <definedName name="Z_186732C5_520C_4E06_B066_B4F3F0A3E322_.wvu.PrintArea" localSheetId="20" hidden="1">'21 Eu projektek'!$B$3:$C$19</definedName>
    <definedName name="Z_186732C5_520C_4E06_B066_B4F3F0A3E322_.wvu.PrintArea" localSheetId="2" hidden="1">'3 bev.részl'!$B$1:$F$123</definedName>
    <definedName name="Z_186732C5_520C_4E06_B066_B4F3F0A3E322_.wvu.PrintArea" localSheetId="8" hidden="1">'9 kult.'!$B$1:$B$67</definedName>
    <definedName name="Z_6D4B996F_8915_4E78_98C2_E7EAE9C4580C_.wvu.PrintArea" localSheetId="16" hidden="1">'17 fbev.'!$B$1:$C$34</definedName>
    <definedName name="Z_6D4B996F_8915_4E78_98C2_E7EAE9C4580C_.wvu.PrintArea" localSheetId="1" hidden="1">'2 mérleg '!$A$2:$I$60</definedName>
    <definedName name="Z_6D4B996F_8915_4E78_98C2_E7EAE9C4580C_.wvu.PrintArea" localSheetId="20" hidden="1">'21 Eu projektek'!$B$3:$C$19</definedName>
    <definedName name="Z_6D4B996F_8915_4E78_98C2_E7EAE9C4580C_.wvu.PrintArea" localSheetId="2" hidden="1">'3 bev.részl'!$B$1:$F$123</definedName>
    <definedName name="Z_6D4B996F_8915_4E78_98C2_E7EAE9C4580C_.wvu.PrintArea" localSheetId="8" hidden="1">'9 kult.'!$B$1:$B$67</definedName>
    <definedName name="Z_F05CDCE5_D631_41F9_80C7_3F3E8464BF12_.wvu.PrintArea" localSheetId="6" hidden="1">'7.létszám ei zárás 2022 év'!$A$1:$E$48</definedName>
    <definedName name="Z_F05CDCE5_D631_41F9_80C7_3F3E8464BF12_.wvu.PrintTitles" localSheetId="6" hidden="1">'7.létszám ei zárás 2022 év'!$1:$7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2" i="70" l="1"/>
  <c r="E91" i="70"/>
  <c r="D87" i="70"/>
  <c r="C87" i="70"/>
  <c r="B87" i="70"/>
  <c r="E86" i="70"/>
  <c r="E85" i="70"/>
  <c r="E84" i="70"/>
  <c r="E83" i="70"/>
  <c r="E82" i="70"/>
  <c r="E81" i="70"/>
  <c r="E80" i="70"/>
  <c r="D77" i="70"/>
  <c r="C77" i="70"/>
  <c r="B77" i="70"/>
  <c r="E76" i="70"/>
  <c r="E75" i="70"/>
  <c r="C73" i="70"/>
  <c r="B73" i="70"/>
  <c r="E72" i="70"/>
  <c r="E71" i="70"/>
  <c r="D70" i="70"/>
  <c r="D73" i="70" s="1"/>
  <c r="C66" i="70"/>
  <c r="B66" i="70"/>
  <c r="E65" i="70"/>
  <c r="D64" i="70"/>
  <c r="D66" i="70" s="1"/>
  <c r="E63" i="70"/>
  <c r="C62" i="70"/>
  <c r="B62" i="70"/>
  <c r="E61" i="70"/>
  <c r="D60" i="70"/>
  <c r="E60" i="70" s="1"/>
  <c r="D59" i="70"/>
  <c r="D62" i="70" s="1"/>
  <c r="E62" i="70" s="1"/>
  <c r="E58" i="70"/>
  <c r="E57" i="70"/>
  <c r="C56" i="70"/>
  <c r="B56" i="70"/>
  <c r="D55" i="70"/>
  <c r="E55" i="70" s="1"/>
  <c r="D54" i="70"/>
  <c r="E54" i="70" s="1"/>
  <c r="D53" i="70"/>
  <c r="E53" i="70" s="1"/>
  <c r="E52" i="70"/>
  <c r="D51" i="70"/>
  <c r="E50" i="70"/>
  <c r="E49" i="70"/>
  <c r="C46" i="70"/>
  <c r="B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D33" i="70"/>
  <c r="E33" i="70" s="1"/>
  <c r="D32" i="70"/>
  <c r="E32" i="70" s="1"/>
  <c r="E31" i="70"/>
  <c r="E30" i="70"/>
  <c r="E29" i="70"/>
  <c r="E28" i="70"/>
  <c r="D27" i="70"/>
  <c r="E27" i="70" s="1"/>
  <c r="D26" i="70"/>
  <c r="E26" i="70" s="1"/>
  <c r="E25" i="70"/>
  <c r="E24" i="70"/>
  <c r="E23" i="70"/>
  <c r="E22" i="70"/>
  <c r="E21" i="70"/>
  <c r="E20" i="70"/>
  <c r="D20" i="70"/>
  <c r="E19" i="70"/>
  <c r="D18" i="70"/>
  <c r="E18" i="70" s="1"/>
  <c r="C15" i="70"/>
  <c r="B15" i="70"/>
  <c r="E14" i="70"/>
  <c r="E13" i="70"/>
  <c r="E12" i="70"/>
  <c r="E11" i="70"/>
  <c r="E10" i="70"/>
  <c r="E9" i="70"/>
  <c r="D8" i="70"/>
  <c r="D15" i="70" s="1"/>
  <c r="E7" i="70"/>
  <c r="J57" i="41"/>
  <c r="E66" i="70" l="1"/>
  <c r="E87" i="70"/>
  <c r="E77" i="70"/>
  <c r="B67" i="70"/>
  <c r="B78" i="70" s="1"/>
  <c r="D56" i="70"/>
  <c r="E59" i="70"/>
  <c r="E46" i="70"/>
  <c r="D67" i="70"/>
  <c r="E56" i="70"/>
  <c r="E67" i="70" s="1"/>
  <c r="D46" i="70"/>
  <c r="E8" i="70"/>
  <c r="E15" i="70" s="1"/>
  <c r="E70" i="70"/>
  <c r="E73" i="70" s="1"/>
  <c r="E64" i="70"/>
  <c r="E51" i="70"/>
  <c r="C67" i="70"/>
  <c r="C78" i="70" s="1"/>
  <c r="G36" i="40"/>
  <c r="G37" i="40"/>
  <c r="G38" i="40"/>
  <c r="G39" i="40"/>
  <c r="G43" i="40"/>
  <c r="G44" i="40"/>
  <c r="G46" i="40"/>
  <c r="G26" i="9"/>
  <c r="M51" i="41"/>
  <c r="M50" i="41"/>
  <c r="M49" i="41"/>
  <c r="G51" i="41"/>
  <c r="D19" i="54"/>
  <c r="D78" i="70" l="1"/>
  <c r="E78" i="70"/>
  <c r="C88" i="70"/>
  <c r="C93" i="70"/>
  <c r="D88" i="70"/>
  <c r="D93" i="70"/>
  <c r="E93" i="70"/>
  <c r="E88" i="70"/>
  <c r="B93" i="70"/>
  <c r="B88" i="70"/>
  <c r="C12" i="52"/>
  <c r="G9" i="9"/>
  <c r="C6" i="52"/>
  <c r="I8" i="64" l="1"/>
  <c r="E30" i="11"/>
  <c r="I19" i="64" l="1"/>
  <c r="I84" i="39"/>
  <c r="C11" i="64"/>
  <c r="D10" i="64"/>
  <c r="E45" i="68" l="1"/>
  <c r="D45" i="68"/>
  <c r="C45" i="68"/>
  <c r="B45" i="68"/>
  <c r="E44" i="68"/>
  <c r="D44" i="68"/>
  <c r="C44" i="68"/>
  <c r="B44" i="68"/>
  <c r="E42" i="68"/>
  <c r="D42" i="68"/>
  <c r="C42" i="68"/>
  <c r="B42" i="68"/>
  <c r="E40" i="68"/>
  <c r="D40" i="68"/>
  <c r="C40" i="68"/>
  <c r="B40" i="68"/>
  <c r="E38" i="68"/>
  <c r="D38" i="68"/>
  <c r="C38" i="68"/>
  <c r="B38" i="68"/>
  <c r="E35" i="68"/>
  <c r="D35" i="68"/>
  <c r="C35" i="68"/>
  <c r="B35" i="68"/>
  <c r="E34" i="68"/>
  <c r="D34" i="68"/>
  <c r="C34" i="68"/>
  <c r="B34" i="68"/>
  <c r="E33" i="68"/>
  <c r="D33" i="68"/>
  <c r="C33" i="68"/>
  <c r="B33" i="68"/>
  <c r="E32" i="68"/>
  <c r="E36" i="68" s="1"/>
  <c r="D32" i="68"/>
  <c r="C32" i="68"/>
  <c r="C36" i="68" s="1"/>
  <c r="B32" i="68"/>
  <c r="E28" i="68"/>
  <c r="D28" i="68"/>
  <c r="C28" i="68"/>
  <c r="B28" i="68"/>
  <c r="E26" i="68"/>
  <c r="D26" i="68"/>
  <c r="C26" i="68"/>
  <c r="B26" i="68"/>
  <c r="E25" i="68"/>
  <c r="D25" i="68"/>
  <c r="C25" i="68"/>
  <c r="B25" i="68"/>
  <c r="E24" i="68"/>
  <c r="D24" i="68"/>
  <c r="C24" i="68"/>
  <c r="B24" i="68"/>
  <c r="E23" i="68"/>
  <c r="D23" i="68"/>
  <c r="C23" i="68"/>
  <c r="B23" i="68"/>
  <c r="E22" i="68"/>
  <c r="D22" i="68"/>
  <c r="C22" i="68"/>
  <c r="B22" i="68"/>
  <c r="E21" i="68"/>
  <c r="D21" i="68"/>
  <c r="C21" i="68"/>
  <c r="B21" i="68"/>
  <c r="E20" i="68"/>
  <c r="D20" i="68"/>
  <c r="C20" i="68"/>
  <c r="B20" i="68"/>
  <c r="E19" i="68"/>
  <c r="D19" i="68"/>
  <c r="C19" i="68"/>
  <c r="B19" i="68"/>
  <c r="E18" i="68"/>
  <c r="D18" i="68"/>
  <c r="C18" i="68"/>
  <c r="B18" i="68"/>
  <c r="E17" i="68"/>
  <c r="D17" i="68"/>
  <c r="C17" i="68"/>
  <c r="B17" i="68"/>
  <c r="E16" i="68"/>
  <c r="D16" i="68"/>
  <c r="C16" i="68"/>
  <c r="B16" i="68"/>
  <c r="E15" i="68"/>
  <c r="D15" i="68"/>
  <c r="C15" i="68"/>
  <c r="B15" i="68"/>
  <c r="E14" i="68"/>
  <c r="D14" i="68"/>
  <c r="C14" i="68"/>
  <c r="B14" i="68"/>
  <c r="E13" i="68"/>
  <c r="D13" i="68"/>
  <c r="C13" i="68"/>
  <c r="B13" i="68"/>
  <c r="E12" i="68"/>
  <c r="D12" i="68"/>
  <c r="C12" i="68"/>
  <c r="B12" i="68"/>
  <c r="E11" i="68"/>
  <c r="D11" i="68"/>
  <c r="C11" i="68"/>
  <c r="B11" i="68"/>
  <c r="E10" i="68"/>
  <c r="D10" i="68"/>
  <c r="C10" i="68"/>
  <c r="B10" i="68"/>
  <c r="E9" i="68"/>
  <c r="D9" i="68"/>
  <c r="C9" i="68"/>
  <c r="B9" i="68"/>
  <c r="B27" i="68" s="1"/>
  <c r="B29" i="68" s="1"/>
  <c r="G10" i="68" l="1"/>
  <c r="G13" i="68"/>
  <c r="G15" i="68"/>
  <c r="G11" i="68"/>
  <c r="F11" i="68"/>
  <c r="F12" i="68"/>
  <c r="F13" i="68"/>
  <c r="F14" i="68"/>
  <c r="F15" i="68"/>
  <c r="F16" i="68"/>
  <c r="F17" i="68"/>
  <c r="F18" i="68"/>
  <c r="F19" i="68"/>
  <c r="F20" i="68"/>
  <c r="F21" i="68"/>
  <c r="F22" i="68"/>
  <c r="F23" i="68"/>
  <c r="F25" i="68"/>
  <c r="F28" i="68"/>
  <c r="F33" i="68"/>
  <c r="F34" i="68"/>
  <c r="F35" i="68"/>
  <c r="F38" i="68"/>
  <c r="F40" i="68"/>
  <c r="F42" i="68"/>
  <c r="F44" i="68"/>
  <c r="F45" i="68"/>
  <c r="C46" i="68"/>
  <c r="C47" i="68" s="1"/>
  <c r="C27" i="68"/>
  <c r="C29" i="68" s="1"/>
  <c r="G17" i="68"/>
  <c r="G19" i="68"/>
  <c r="G21" i="68"/>
  <c r="G23" i="68"/>
  <c r="G25" i="68"/>
  <c r="G28" i="68"/>
  <c r="G33" i="68"/>
  <c r="G35" i="68"/>
  <c r="G40" i="68"/>
  <c r="D27" i="68"/>
  <c r="D29" i="68" s="1"/>
  <c r="E27" i="68"/>
  <c r="E29" i="68" s="1"/>
  <c r="D46" i="68"/>
  <c r="F10" i="68"/>
  <c r="E46" i="68"/>
  <c r="E47" i="68" s="1"/>
  <c r="F24" i="68"/>
  <c r="F26" i="68"/>
  <c r="B36" i="68"/>
  <c r="G14" i="68"/>
  <c r="G18" i="68"/>
  <c r="G20" i="68"/>
  <c r="G22" i="68"/>
  <c r="G26" i="68"/>
  <c r="G34" i="68"/>
  <c r="G38" i="68"/>
  <c r="G42" i="68"/>
  <c r="G45" i="68"/>
  <c r="G12" i="68"/>
  <c r="G16" i="68"/>
  <c r="G24" i="68"/>
  <c r="D36" i="68"/>
  <c r="B46" i="68"/>
  <c r="F32" i="68"/>
  <c r="F9" i="68"/>
  <c r="G9" i="68"/>
  <c r="G32" i="68"/>
  <c r="G44" i="68"/>
  <c r="F36" i="68" l="1"/>
  <c r="F46" i="68"/>
  <c r="G46" i="68"/>
  <c r="C48" i="68"/>
  <c r="D47" i="68"/>
  <c r="D48" i="68" s="1"/>
  <c r="B47" i="68"/>
  <c r="B48" i="68" s="1"/>
  <c r="G27" i="68"/>
  <c r="G29" i="68" s="1"/>
  <c r="G36" i="68"/>
  <c r="F27" i="68"/>
  <c r="F29" i="68" s="1"/>
  <c r="E48" i="68"/>
  <c r="F47" i="68" l="1"/>
  <c r="F48" i="68" s="1"/>
  <c r="G47" i="68"/>
  <c r="G48" i="68" s="1"/>
  <c r="AL47" i="67"/>
  <c r="AH47" i="67"/>
  <c r="AD47" i="67"/>
  <c r="U47" i="67"/>
  <c r="Q47" i="67"/>
  <c r="L47" i="67"/>
  <c r="D47" i="67"/>
  <c r="AQ46" i="67"/>
  <c r="AK46" i="67"/>
  <c r="AJ46" i="67"/>
  <c r="AG46" i="67"/>
  <c r="AF46" i="67"/>
  <c r="AC46" i="67"/>
  <c r="AE46" i="67" s="1"/>
  <c r="AB46" i="67"/>
  <c r="T46" i="67"/>
  <c r="S46" i="67"/>
  <c r="P46" i="67"/>
  <c r="O46" i="67"/>
  <c r="K46" i="67"/>
  <c r="M46" i="67" s="1"/>
  <c r="J46" i="67"/>
  <c r="H46" i="67"/>
  <c r="G46" i="67"/>
  <c r="F46" i="67"/>
  <c r="C46" i="67"/>
  <c r="B46" i="67"/>
  <c r="AQ45" i="67"/>
  <c r="AK45" i="67"/>
  <c r="AJ45" i="67"/>
  <c r="AG45" i="67"/>
  <c r="AF45" i="67"/>
  <c r="AC45" i="67"/>
  <c r="AB45" i="67"/>
  <c r="Y45" i="67"/>
  <c r="T45" i="67"/>
  <c r="V45" i="67" s="1"/>
  <c r="S45" i="67"/>
  <c r="P45" i="67"/>
  <c r="O45" i="67"/>
  <c r="K45" i="67"/>
  <c r="M45" i="67" s="1"/>
  <c r="J45" i="67"/>
  <c r="G45" i="67"/>
  <c r="F45" i="67"/>
  <c r="C45" i="67"/>
  <c r="E45" i="67" s="1"/>
  <c r="B45" i="67"/>
  <c r="AQ43" i="67"/>
  <c r="AK43" i="67"/>
  <c r="AJ43" i="67"/>
  <c r="AG43" i="67"/>
  <c r="AI43" i="67" s="1"/>
  <c r="AF43" i="67"/>
  <c r="AC43" i="67"/>
  <c r="AB43" i="67"/>
  <c r="Y43" i="67"/>
  <c r="AU43" i="67" s="1"/>
  <c r="T43" i="67"/>
  <c r="S43" i="67"/>
  <c r="P43" i="67"/>
  <c r="O43" i="67"/>
  <c r="K43" i="67"/>
  <c r="M43" i="67" s="1"/>
  <c r="J43" i="67"/>
  <c r="G43" i="67"/>
  <c r="I43" i="67" s="1"/>
  <c r="F43" i="67"/>
  <c r="C43" i="67"/>
  <c r="E43" i="67" s="1"/>
  <c r="B43" i="67"/>
  <c r="AQ41" i="67"/>
  <c r="AK41" i="67"/>
  <c r="AJ41" i="67"/>
  <c r="AG41" i="67"/>
  <c r="AF41" i="67"/>
  <c r="AC41" i="67"/>
  <c r="AE41" i="67" s="1"/>
  <c r="AB41" i="67"/>
  <c r="Y41" i="67"/>
  <c r="AU41" i="67" s="1"/>
  <c r="T41" i="67"/>
  <c r="V41" i="67" s="1"/>
  <c r="S41" i="67"/>
  <c r="P41" i="67"/>
  <c r="O41" i="67"/>
  <c r="K41" i="67"/>
  <c r="M41" i="67" s="1"/>
  <c r="J41" i="67"/>
  <c r="G41" i="67"/>
  <c r="I41" i="67" s="1"/>
  <c r="F41" i="67"/>
  <c r="C41" i="67"/>
  <c r="E41" i="67" s="1"/>
  <c r="B41" i="67"/>
  <c r="AQ39" i="67"/>
  <c r="AK39" i="67"/>
  <c r="AJ39" i="67"/>
  <c r="AG39" i="67"/>
  <c r="AI39" i="67" s="1"/>
  <c r="AF39" i="67"/>
  <c r="AC39" i="67"/>
  <c r="AB39" i="67"/>
  <c r="Y39" i="67"/>
  <c r="T39" i="67"/>
  <c r="V39" i="67" s="1"/>
  <c r="S39" i="67"/>
  <c r="P39" i="67"/>
  <c r="O39" i="67"/>
  <c r="K39" i="67"/>
  <c r="M39" i="67" s="1"/>
  <c r="J39" i="67"/>
  <c r="G39" i="67"/>
  <c r="I39" i="67" s="1"/>
  <c r="F39" i="67"/>
  <c r="C39" i="67"/>
  <c r="E39" i="67" s="1"/>
  <c r="B39" i="67"/>
  <c r="AL37" i="67"/>
  <c r="AL48" i="67" s="1"/>
  <c r="AH37" i="67"/>
  <c r="AD37" i="67"/>
  <c r="U37" i="67"/>
  <c r="U48" i="67" s="1"/>
  <c r="Q37" i="67"/>
  <c r="Q48" i="67" s="1"/>
  <c r="L37" i="67"/>
  <c r="L48" i="67" s="1"/>
  <c r="H37" i="67"/>
  <c r="D37" i="67"/>
  <c r="D48" i="67" s="1"/>
  <c r="AQ36" i="67"/>
  <c r="AK36" i="67"/>
  <c r="AJ36" i="67"/>
  <c r="AG36" i="67"/>
  <c r="AF36" i="67"/>
  <c r="AC36" i="67"/>
  <c r="AB36" i="67"/>
  <c r="Y36" i="67"/>
  <c r="T36" i="67"/>
  <c r="S36" i="67"/>
  <c r="P36" i="67"/>
  <c r="O36" i="67"/>
  <c r="K36" i="67"/>
  <c r="M36" i="67" s="1"/>
  <c r="J36" i="67"/>
  <c r="G36" i="67"/>
  <c r="I36" i="67" s="1"/>
  <c r="F36" i="67"/>
  <c r="C36" i="67"/>
  <c r="E36" i="67" s="1"/>
  <c r="B36" i="67"/>
  <c r="AQ35" i="67"/>
  <c r="AK35" i="67"/>
  <c r="AJ35" i="67"/>
  <c r="AG35" i="67"/>
  <c r="AF35" i="67"/>
  <c r="AC35" i="67"/>
  <c r="AE35" i="67" s="1"/>
  <c r="AB35" i="67"/>
  <c r="Y35" i="67"/>
  <c r="T35" i="67"/>
  <c r="S35" i="67"/>
  <c r="P35" i="67"/>
  <c r="O35" i="67"/>
  <c r="K35" i="67"/>
  <c r="M35" i="67" s="1"/>
  <c r="J35" i="67"/>
  <c r="G35" i="67"/>
  <c r="I35" i="67" s="1"/>
  <c r="F35" i="67"/>
  <c r="C35" i="67"/>
  <c r="B35" i="67"/>
  <c r="AQ34" i="67"/>
  <c r="AK34" i="67"/>
  <c r="AJ34" i="67"/>
  <c r="AG34" i="67"/>
  <c r="AF34" i="67"/>
  <c r="AC34" i="67"/>
  <c r="AE34" i="67" s="1"/>
  <c r="AB34" i="67"/>
  <c r="Y34" i="67"/>
  <c r="T34" i="67"/>
  <c r="S34" i="67"/>
  <c r="P34" i="67"/>
  <c r="O34" i="67"/>
  <c r="K34" i="67"/>
  <c r="M34" i="67" s="1"/>
  <c r="J34" i="67"/>
  <c r="G34" i="67"/>
  <c r="I34" i="67" s="1"/>
  <c r="F34" i="67"/>
  <c r="C34" i="67"/>
  <c r="B34" i="67"/>
  <c r="AQ33" i="67"/>
  <c r="AK33" i="67"/>
  <c r="AJ33" i="67"/>
  <c r="AG33" i="67"/>
  <c r="AF33" i="67"/>
  <c r="AC33" i="67"/>
  <c r="AB33" i="67"/>
  <c r="Y33" i="67"/>
  <c r="T33" i="67"/>
  <c r="S33" i="67"/>
  <c r="P33" i="67"/>
  <c r="O33" i="67"/>
  <c r="K33" i="67"/>
  <c r="J33" i="67"/>
  <c r="G33" i="67"/>
  <c r="F33" i="67"/>
  <c r="C33" i="67"/>
  <c r="E33" i="67" s="1"/>
  <c r="B33" i="67"/>
  <c r="H30" i="67"/>
  <c r="AQ29" i="67"/>
  <c r="AK29" i="67"/>
  <c r="AJ29" i="67"/>
  <c r="AG29" i="67"/>
  <c r="AI29" i="67" s="1"/>
  <c r="AF29" i="67"/>
  <c r="AC29" i="67"/>
  <c r="AE29" i="67" s="1"/>
  <c r="AB29" i="67"/>
  <c r="Y29" i="67"/>
  <c r="AU29" i="67" s="1"/>
  <c r="T29" i="67"/>
  <c r="S29" i="67"/>
  <c r="P29" i="67"/>
  <c r="O29" i="67"/>
  <c r="K29" i="67"/>
  <c r="M29" i="67" s="1"/>
  <c r="J29" i="67"/>
  <c r="G29" i="67"/>
  <c r="I29" i="67" s="1"/>
  <c r="F29" i="67"/>
  <c r="C29" i="67"/>
  <c r="E29" i="67" s="1"/>
  <c r="B29" i="67"/>
  <c r="AL28" i="67"/>
  <c r="AL30" i="67" s="1"/>
  <c r="U28" i="67"/>
  <c r="U30" i="67" s="1"/>
  <c r="Q28" i="67"/>
  <c r="Q30" i="67" s="1"/>
  <c r="Q49" i="67" s="1"/>
  <c r="H28" i="67"/>
  <c r="AQ27" i="67"/>
  <c r="AK27" i="67"/>
  <c r="AJ27" i="67"/>
  <c r="AG27" i="67"/>
  <c r="AF27" i="67"/>
  <c r="AC27" i="67"/>
  <c r="AB27" i="67"/>
  <c r="Y27" i="67"/>
  <c r="T27" i="67"/>
  <c r="S27" i="67"/>
  <c r="P27" i="67"/>
  <c r="O27" i="67"/>
  <c r="K27" i="67"/>
  <c r="M27" i="67" s="1"/>
  <c r="J27" i="67"/>
  <c r="G27" i="67"/>
  <c r="I27" i="67" s="1"/>
  <c r="F27" i="67"/>
  <c r="C27" i="67"/>
  <c r="E27" i="67" s="1"/>
  <c r="B27" i="67"/>
  <c r="AQ26" i="67"/>
  <c r="AK26" i="67"/>
  <c r="AJ26" i="67"/>
  <c r="AG26" i="67"/>
  <c r="AI26" i="67" s="1"/>
  <c r="AF26" i="67"/>
  <c r="AC26" i="67"/>
  <c r="AB26" i="67"/>
  <c r="Y26" i="67"/>
  <c r="AU26" i="67" s="1"/>
  <c r="T26" i="67"/>
  <c r="S26" i="67"/>
  <c r="P26" i="67"/>
  <c r="O26" i="67"/>
  <c r="K26" i="67"/>
  <c r="M26" i="67" s="1"/>
  <c r="J26" i="67"/>
  <c r="G26" i="67"/>
  <c r="I26" i="67" s="1"/>
  <c r="F26" i="67"/>
  <c r="C26" i="67"/>
  <c r="E26" i="67" s="1"/>
  <c r="B26" i="67"/>
  <c r="AQ25" i="67"/>
  <c r="AK25" i="67"/>
  <c r="AJ25" i="67"/>
  <c r="AG25" i="67"/>
  <c r="AF25" i="67"/>
  <c r="AC25" i="67"/>
  <c r="AB25" i="67"/>
  <c r="Y25" i="67"/>
  <c r="AU25" i="67" s="1"/>
  <c r="T25" i="67"/>
  <c r="S25" i="67"/>
  <c r="P25" i="67"/>
  <c r="O25" i="67"/>
  <c r="K25" i="67"/>
  <c r="M25" i="67" s="1"/>
  <c r="J25" i="67"/>
  <c r="G25" i="67"/>
  <c r="I25" i="67" s="1"/>
  <c r="F25" i="67"/>
  <c r="C25" i="67"/>
  <c r="E25" i="67" s="1"/>
  <c r="B25" i="67"/>
  <c r="AQ24" i="67"/>
  <c r="AK24" i="67"/>
  <c r="AJ24" i="67"/>
  <c r="AG24" i="67"/>
  <c r="AF24" i="67"/>
  <c r="AC24" i="67"/>
  <c r="AE24" i="67" s="1"/>
  <c r="AB24" i="67"/>
  <c r="Y24" i="67"/>
  <c r="T24" i="67"/>
  <c r="S24" i="67"/>
  <c r="P24" i="67"/>
  <c r="O24" i="67"/>
  <c r="K24" i="67"/>
  <c r="M24" i="67" s="1"/>
  <c r="J24" i="67"/>
  <c r="G24" i="67"/>
  <c r="I24" i="67" s="1"/>
  <c r="F24" i="67"/>
  <c r="C24" i="67"/>
  <c r="B24" i="67"/>
  <c r="AQ23" i="67"/>
  <c r="AK23" i="67"/>
  <c r="AJ23" i="67"/>
  <c r="AG23" i="67"/>
  <c r="AF23" i="67"/>
  <c r="AC23" i="67"/>
  <c r="AE23" i="67" s="1"/>
  <c r="AB23" i="67"/>
  <c r="Y23" i="67"/>
  <c r="T23" i="67"/>
  <c r="S23" i="67"/>
  <c r="P23" i="67"/>
  <c r="O23" i="67"/>
  <c r="K23" i="67"/>
  <c r="M23" i="67" s="1"/>
  <c r="J23" i="67"/>
  <c r="G23" i="67"/>
  <c r="I23" i="67" s="1"/>
  <c r="F23" i="67"/>
  <c r="C23" i="67"/>
  <c r="B23" i="67"/>
  <c r="AQ22" i="67"/>
  <c r="AK22" i="67"/>
  <c r="AJ22" i="67"/>
  <c r="AG22" i="67"/>
  <c r="AI22" i="67" s="1"/>
  <c r="AF22" i="67"/>
  <c r="AC22" i="67"/>
  <c r="AE22" i="67" s="1"/>
  <c r="AB22" i="67"/>
  <c r="Y22" i="67"/>
  <c r="T22" i="67"/>
  <c r="S22" i="67"/>
  <c r="P22" i="67"/>
  <c r="O22" i="67"/>
  <c r="K22" i="67"/>
  <c r="M22" i="67" s="1"/>
  <c r="J22" i="67"/>
  <c r="G22" i="67"/>
  <c r="I22" i="67" s="1"/>
  <c r="F22" i="67"/>
  <c r="C22" i="67"/>
  <c r="B22" i="67"/>
  <c r="AQ21" i="67"/>
  <c r="AK21" i="67"/>
  <c r="AJ21" i="67"/>
  <c r="AG21" i="67"/>
  <c r="AF21" i="67"/>
  <c r="AC21" i="67"/>
  <c r="AE21" i="67" s="1"/>
  <c r="AB21" i="67"/>
  <c r="Y21" i="67"/>
  <c r="T21" i="67"/>
  <c r="S21" i="67"/>
  <c r="P21" i="67"/>
  <c r="O21" i="67"/>
  <c r="K21" i="67"/>
  <c r="M21" i="67" s="1"/>
  <c r="J21" i="67"/>
  <c r="G21" i="67"/>
  <c r="F21" i="67"/>
  <c r="C21" i="67"/>
  <c r="E21" i="67" s="1"/>
  <c r="B21" i="67"/>
  <c r="AQ20" i="67"/>
  <c r="AK20" i="67"/>
  <c r="AJ20" i="67"/>
  <c r="AG20" i="67"/>
  <c r="AF20" i="67"/>
  <c r="AC20" i="67"/>
  <c r="AB20" i="67"/>
  <c r="Y20" i="67"/>
  <c r="AU20" i="67" s="1"/>
  <c r="T20" i="67"/>
  <c r="S20" i="67"/>
  <c r="P20" i="67"/>
  <c r="O20" i="67"/>
  <c r="K20" i="67"/>
  <c r="M20" i="67" s="1"/>
  <c r="J20" i="67"/>
  <c r="G20" i="67"/>
  <c r="I20" i="67" s="1"/>
  <c r="F20" i="67"/>
  <c r="C20" i="67"/>
  <c r="E20" i="67" s="1"/>
  <c r="B20" i="67"/>
  <c r="AQ19" i="67"/>
  <c r="AK19" i="67"/>
  <c r="AJ19" i="67"/>
  <c r="AG19" i="67"/>
  <c r="AF19" i="67"/>
  <c r="AC19" i="67"/>
  <c r="AE19" i="67" s="1"/>
  <c r="AB19" i="67"/>
  <c r="Y19" i="67"/>
  <c r="AU19" i="67" s="1"/>
  <c r="T19" i="67"/>
  <c r="S19" i="67"/>
  <c r="P19" i="67"/>
  <c r="O19" i="67"/>
  <c r="K19" i="67"/>
  <c r="M19" i="67" s="1"/>
  <c r="J19" i="67"/>
  <c r="G19" i="67"/>
  <c r="I19" i="67" s="1"/>
  <c r="F19" i="67"/>
  <c r="C19" i="67"/>
  <c r="B19" i="67"/>
  <c r="AQ18" i="67"/>
  <c r="AK18" i="67"/>
  <c r="AJ18" i="67"/>
  <c r="AG18" i="67"/>
  <c r="AI18" i="67" s="1"/>
  <c r="AF18" i="67"/>
  <c r="AC18" i="67"/>
  <c r="AE18" i="67" s="1"/>
  <c r="AB18" i="67"/>
  <c r="Y18" i="67"/>
  <c r="T18" i="67"/>
  <c r="S18" i="67"/>
  <c r="P18" i="67"/>
  <c r="O18" i="67"/>
  <c r="K18" i="67"/>
  <c r="M18" i="67" s="1"/>
  <c r="J18" i="67"/>
  <c r="G18" i="67"/>
  <c r="I18" i="67" s="1"/>
  <c r="F18" i="67"/>
  <c r="C18" i="67"/>
  <c r="E18" i="67" s="1"/>
  <c r="B18" i="67"/>
  <c r="AQ17" i="67"/>
  <c r="AK17" i="67"/>
  <c r="AJ17" i="67"/>
  <c r="AG17" i="67"/>
  <c r="AF17" i="67"/>
  <c r="AC17" i="67"/>
  <c r="AE17" i="67" s="1"/>
  <c r="AB17" i="67"/>
  <c r="Y17" i="67"/>
  <c r="T17" i="67"/>
  <c r="S17" i="67"/>
  <c r="P17" i="67"/>
  <c r="O17" i="67"/>
  <c r="K17" i="67"/>
  <c r="M17" i="67" s="1"/>
  <c r="J17" i="67"/>
  <c r="G17" i="67"/>
  <c r="I17" i="67" s="1"/>
  <c r="F17" i="67"/>
  <c r="C17" i="67"/>
  <c r="B17" i="67"/>
  <c r="AK16" i="67"/>
  <c r="AJ16" i="67"/>
  <c r="AH16" i="67"/>
  <c r="AG16" i="67"/>
  <c r="AF16" i="67"/>
  <c r="AC16" i="67"/>
  <c r="AB16" i="67"/>
  <c r="T16" i="67"/>
  <c r="S16" i="67"/>
  <c r="P16" i="67"/>
  <c r="O16" i="67"/>
  <c r="L16" i="67"/>
  <c r="K16" i="67"/>
  <c r="M16" i="67" s="1"/>
  <c r="J16" i="67"/>
  <c r="G16" i="67"/>
  <c r="I16" i="67" s="1"/>
  <c r="F16" i="67"/>
  <c r="D16" i="67"/>
  <c r="Y16" i="67" s="1"/>
  <c r="C16" i="67"/>
  <c r="B16" i="67"/>
  <c r="AQ15" i="67"/>
  <c r="AK15" i="67"/>
  <c r="AJ15" i="67"/>
  <c r="AG15" i="67"/>
  <c r="AI15" i="67" s="1"/>
  <c r="AF15" i="67"/>
  <c r="AD15" i="67"/>
  <c r="AC15" i="67"/>
  <c r="AE15" i="67" s="1"/>
  <c r="AB15" i="67"/>
  <c r="Y15" i="67"/>
  <c r="AU15" i="67" s="1"/>
  <c r="T15" i="67"/>
  <c r="S15" i="67"/>
  <c r="P15" i="67"/>
  <c r="O15" i="67"/>
  <c r="K15" i="67"/>
  <c r="M15" i="67" s="1"/>
  <c r="J15" i="67"/>
  <c r="G15" i="67"/>
  <c r="I15" i="67" s="1"/>
  <c r="F15" i="67"/>
  <c r="C15" i="67"/>
  <c r="B15" i="67"/>
  <c r="AK14" i="67"/>
  <c r="AJ14" i="67"/>
  <c r="AG14" i="67"/>
  <c r="AF14" i="67"/>
  <c r="AD14" i="67"/>
  <c r="AQ14" i="67" s="1"/>
  <c r="AC14" i="67"/>
  <c r="AE14" i="67" s="1"/>
  <c r="AB14" i="67"/>
  <c r="Y14" i="67"/>
  <c r="T14" i="67"/>
  <c r="S14" i="67"/>
  <c r="P14" i="67"/>
  <c r="O14" i="67"/>
  <c r="K14" i="67"/>
  <c r="M14" i="67" s="1"/>
  <c r="J14" i="67"/>
  <c r="G14" i="67"/>
  <c r="I14" i="67" s="1"/>
  <c r="F14" i="67"/>
  <c r="C14" i="67"/>
  <c r="B14" i="67"/>
  <c r="AQ13" i="67"/>
  <c r="AK13" i="67"/>
  <c r="AJ13" i="67"/>
  <c r="AG13" i="67"/>
  <c r="AF13" i="67"/>
  <c r="AC13" i="67"/>
  <c r="AE13" i="67" s="1"/>
  <c r="AB13" i="67"/>
  <c r="Y13" i="67"/>
  <c r="T13" i="67"/>
  <c r="S13" i="67"/>
  <c r="P13" i="67"/>
  <c r="O13" i="67"/>
  <c r="K13" i="67"/>
  <c r="M13" i="67" s="1"/>
  <c r="J13" i="67"/>
  <c r="G13" i="67"/>
  <c r="F13" i="67"/>
  <c r="C13" i="67"/>
  <c r="E13" i="67" s="1"/>
  <c r="B13" i="67"/>
  <c r="AQ12" i="67"/>
  <c r="AK12" i="67"/>
  <c r="AJ12" i="67"/>
  <c r="AG12" i="67"/>
  <c r="AI12" i="67" s="1"/>
  <c r="AF12" i="67"/>
  <c r="AC12" i="67"/>
  <c r="AB12" i="67"/>
  <c r="Y12" i="67"/>
  <c r="T12" i="67"/>
  <c r="S12" i="67"/>
  <c r="P12" i="67"/>
  <c r="O12" i="67"/>
  <c r="K12" i="67"/>
  <c r="M12" i="67" s="1"/>
  <c r="J12" i="67"/>
  <c r="G12" i="67"/>
  <c r="F12" i="67"/>
  <c r="E12" i="67"/>
  <c r="C12" i="67"/>
  <c r="B12" i="67"/>
  <c r="AK11" i="67"/>
  <c r="AJ11" i="67"/>
  <c r="AG11" i="67"/>
  <c r="AF11" i="67"/>
  <c r="AD11" i="67"/>
  <c r="AD28" i="67" s="1"/>
  <c r="AC11" i="67"/>
  <c r="AB11" i="67"/>
  <c r="T11" i="67"/>
  <c r="S11" i="67"/>
  <c r="P11" i="67"/>
  <c r="O11" i="67"/>
  <c r="L11" i="67"/>
  <c r="L28" i="67" s="1"/>
  <c r="K11" i="67"/>
  <c r="J11" i="67"/>
  <c r="G11" i="67"/>
  <c r="I11" i="67" s="1"/>
  <c r="F11" i="67"/>
  <c r="D11" i="67"/>
  <c r="D28" i="67" s="1"/>
  <c r="C11" i="67"/>
  <c r="B11" i="67"/>
  <c r="AQ10" i="67"/>
  <c r="AK10" i="67"/>
  <c r="AJ10" i="67"/>
  <c r="AG10" i="67"/>
  <c r="AF10" i="67"/>
  <c r="AC10" i="67"/>
  <c r="AE10" i="67" s="1"/>
  <c r="AB10" i="67"/>
  <c r="Y10" i="67"/>
  <c r="T10" i="67"/>
  <c r="S10" i="67"/>
  <c r="P10" i="67"/>
  <c r="O10" i="67"/>
  <c r="K10" i="67"/>
  <c r="M10" i="67" s="1"/>
  <c r="J10" i="67"/>
  <c r="G10" i="67"/>
  <c r="I10" i="67" s="1"/>
  <c r="F10" i="67"/>
  <c r="C10" i="67"/>
  <c r="B10" i="67"/>
  <c r="AX48" i="66"/>
  <c r="AO48" i="66"/>
  <c r="AX47" i="66"/>
  <c r="AO47" i="66"/>
  <c r="AM47" i="66"/>
  <c r="AG47" i="66"/>
  <c r="AC47" i="66"/>
  <c r="Y47" i="66"/>
  <c r="P47" i="66"/>
  <c r="L47" i="66"/>
  <c r="H47" i="66"/>
  <c r="D47" i="66"/>
  <c r="AW46" i="66"/>
  <c r="AY46" i="66" s="1"/>
  <c r="AV46" i="66"/>
  <c r="AT46" i="66"/>
  <c r="BB46" i="66" s="1"/>
  <c r="AS46" i="66"/>
  <c r="AR46" i="66"/>
  <c r="AZ46" i="66" s="1"/>
  <c r="AN46" i="66"/>
  <c r="AP46" i="66" s="1"/>
  <c r="AK46" i="66"/>
  <c r="AF46" i="66"/>
  <c r="AE46" i="66"/>
  <c r="AB46" i="66"/>
  <c r="AA46" i="66"/>
  <c r="X46" i="66"/>
  <c r="W46" i="66"/>
  <c r="T46" i="66"/>
  <c r="O46" i="66"/>
  <c r="Q46" i="66" s="1"/>
  <c r="N46" i="66"/>
  <c r="K46" i="66"/>
  <c r="J46" i="66"/>
  <c r="G46" i="66"/>
  <c r="I46" i="66" s="1"/>
  <c r="F46" i="66"/>
  <c r="C46" i="66"/>
  <c r="B46" i="66"/>
  <c r="AW45" i="66"/>
  <c r="AY45" i="66" s="1"/>
  <c r="AV45" i="66"/>
  <c r="AV47" i="66" s="1"/>
  <c r="AT45" i="66"/>
  <c r="AS45" i="66"/>
  <c r="AR45" i="66"/>
  <c r="AN45" i="66"/>
  <c r="AN47" i="66" s="1"/>
  <c r="AP47" i="66" s="1"/>
  <c r="AK45" i="66"/>
  <c r="AF45" i="66"/>
  <c r="AE45" i="66"/>
  <c r="AB45" i="66"/>
  <c r="AA45" i="66"/>
  <c r="X45" i="66"/>
  <c r="W45" i="66"/>
  <c r="T45" i="66"/>
  <c r="O45" i="66"/>
  <c r="N45" i="66"/>
  <c r="K45" i="66"/>
  <c r="J45" i="66"/>
  <c r="G45" i="66"/>
  <c r="F45" i="66"/>
  <c r="C45" i="66"/>
  <c r="B45" i="66"/>
  <c r="B47" i="66" s="1"/>
  <c r="AW43" i="66"/>
  <c r="AY43" i="66" s="1"/>
  <c r="AV43" i="66"/>
  <c r="AT43" i="66"/>
  <c r="BB43" i="66" s="1"/>
  <c r="AS43" i="66"/>
  <c r="AU43" i="66" s="1"/>
  <c r="AR43" i="66"/>
  <c r="AZ43" i="66" s="1"/>
  <c r="AN43" i="66"/>
  <c r="AP43" i="66" s="1"/>
  <c r="AK43" i="66"/>
  <c r="AF43" i="66"/>
  <c r="AE43" i="66"/>
  <c r="AB43" i="66"/>
  <c r="AA43" i="66"/>
  <c r="X43" i="66"/>
  <c r="W43" i="66"/>
  <c r="T43" i="66"/>
  <c r="O43" i="66"/>
  <c r="N43" i="66"/>
  <c r="K43" i="66"/>
  <c r="J43" i="66"/>
  <c r="G43" i="66"/>
  <c r="I43" i="66" s="1"/>
  <c r="F43" i="66"/>
  <c r="C43" i="66"/>
  <c r="B43" i="66"/>
  <c r="AW41" i="66"/>
  <c r="AY41" i="66" s="1"/>
  <c r="AV41" i="66"/>
  <c r="AT41" i="66"/>
  <c r="BB41" i="66" s="1"/>
  <c r="AS41" i="66"/>
  <c r="AR41" i="66"/>
  <c r="AN41" i="66"/>
  <c r="AP41" i="66" s="1"/>
  <c r="AF41" i="66"/>
  <c r="AE41" i="66"/>
  <c r="AB41" i="66"/>
  <c r="AD41" i="66" s="1"/>
  <c r="AA41" i="66"/>
  <c r="Y41" i="66"/>
  <c r="X41" i="66"/>
  <c r="W41" i="66"/>
  <c r="T41" i="66"/>
  <c r="O41" i="66"/>
  <c r="N41" i="66"/>
  <c r="K41" i="66"/>
  <c r="M41" i="66" s="1"/>
  <c r="J41" i="66"/>
  <c r="G41" i="66"/>
  <c r="I41" i="66" s="1"/>
  <c r="F41" i="66"/>
  <c r="C41" i="66"/>
  <c r="B41" i="66"/>
  <c r="AW39" i="66"/>
  <c r="AY39" i="66" s="1"/>
  <c r="AV39" i="66"/>
  <c r="AT39" i="66"/>
  <c r="AS39" i="66"/>
  <c r="AR39" i="66"/>
  <c r="AZ39" i="66" s="1"/>
  <c r="AN39" i="66"/>
  <c r="AP39" i="66" s="1"/>
  <c r="AK39" i="66"/>
  <c r="AF39" i="66"/>
  <c r="AE39" i="66"/>
  <c r="AB39" i="66"/>
  <c r="AA39" i="66"/>
  <c r="X39" i="66"/>
  <c r="W39" i="66"/>
  <c r="T39" i="66"/>
  <c r="O39" i="66"/>
  <c r="N39" i="66"/>
  <c r="K39" i="66"/>
  <c r="M39" i="66" s="1"/>
  <c r="J39" i="66"/>
  <c r="G39" i="66"/>
  <c r="I39" i="66" s="1"/>
  <c r="F39" i="66"/>
  <c r="C39" i="66"/>
  <c r="E39" i="66" s="1"/>
  <c r="B39" i="66"/>
  <c r="AX37" i="66"/>
  <c r="AO37" i="66"/>
  <c r="AM37" i="66"/>
  <c r="AM48" i="66" s="1"/>
  <c r="AG37" i="66"/>
  <c r="AG48" i="66" s="1"/>
  <c r="AC37" i="66"/>
  <c r="AC48" i="66" s="1"/>
  <c r="Y37" i="66"/>
  <c r="P37" i="66"/>
  <c r="P48" i="66" s="1"/>
  <c r="L37" i="66"/>
  <c r="L48" i="66" s="1"/>
  <c r="H37" i="66"/>
  <c r="AW36" i="66"/>
  <c r="AY36" i="66" s="1"/>
  <c r="AV36" i="66"/>
  <c r="AT36" i="66"/>
  <c r="AS36" i="66"/>
  <c r="AR36" i="66"/>
  <c r="AN36" i="66"/>
  <c r="AP36" i="66" s="1"/>
  <c r="AK36" i="66"/>
  <c r="AF36" i="66"/>
  <c r="AE36" i="66"/>
  <c r="AB36" i="66"/>
  <c r="AD36" i="66" s="1"/>
  <c r="AA36" i="66"/>
  <c r="X36" i="66"/>
  <c r="W36" i="66"/>
  <c r="T36" i="66"/>
  <c r="O36" i="66"/>
  <c r="N36" i="66"/>
  <c r="L36" i="66"/>
  <c r="K36" i="66"/>
  <c r="M36" i="66" s="1"/>
  <c r="J36" i="66"/>
  <c r="G36" i="66"/>
  <c r="I36" i="66" s="1"/>
  <c r="F36" i="66"/>
  <c r="C36" i="66"/>
  <c r="E36" i="66" s="1"/>
  <c r="B36" i="66"/>
  <c r="AW35" i="66"/>
  <c r="AY35" i="66" s="1"/>
  <c r="AV35" i="66"/>
  <c r="AT35" i="66"/>
  <c r="AS35" i="66"/>
  <c r="AR35" i="66"/>
  <c r="AN35" i="66"/>
  <c r="AP35" i="66" s="1"/>
  <c r="AK35" i="66"/>
  <c r="AF35" i="66"/>
  <c r="AE35" i="66"/>
  <c r="AB35" i="66"/>
  <c r="AA35" i="66"/>
  <c r="X35" i="66"/>
  <c r="W35" i="66"/>
  <c r="O35" i="66"/>
  <c r="N35" i="66"/>
  <c r="K35" i="66"/>
  <c r="J35" i="66"/>
  <c r="G35" i="66"/>
  <c r="I35" i="66" s="1"/>
  <c r="F35" i="66"/>
  <c r="D35" i="66"/>
  <c r="C35" i="66"/>
  <c r="B35" i="66"/>
  <c r="BB34" i="66"/>
  <c r="AW34" i="66"/>
  <c r="AY34" i="66" s="1"/>
  <c r="AV34" i="66"/>
  <c r="AT34" i="66"/>
  <c r="AS34" i="66"/>
  <c r="AR34" i="66"/>
  <c r="AN34" i="66"/>
  <c r="AP34" i="66" s="1"/>
  <c r="AK34" i="66"/>
  <c r="AF34" i="66"/>
  <c r="AE34" i="66"/>
  <c r="AB34" i="66"/>
  <c r="AD34" i="66" s="1"/>
  <c r="AA34" i="66"/>
  <c r="X34" i="66"/>
  <c r="W34" i="66"/>
  <c r="T34" i="66"/>
  <c r="BF34" i="66" s="1"/>
  <c r="O34" i="66"/>
  <c r="N34" i="66"/>
  <c r="K34" i="66"/>
  <c r="M34" i="66" s="1"/>
  <c r="J34" i="66"/>
  <c r="G34" i="66"/>
  <c r="I34" i="66" s="1"/>
  <c r="F34" i="66"/>
  <c r="C34" i="66"/>
  <c r="B34" i="66"/>
  <c r="AW33" i="66"/>
  <c r="AY33" i="66" s="1"/>
  <c r="AV33" i="66"/>
  <c r="AT33" i="66"/>
  <c r="AS33" i="66"/>
  <c r="AR33" i="66"/>
  <c r="AN33" i="66"/>
  <c r="AK33" i="66"/>
  <c r="AF33" i="66"/>
  <c r="AE33" i="66"/>
  <c r="AB33" i="66"/>
  <c r="AA33" i="66"/>
  <c r="X33" i="66"/>
  <c r="Z33" i="66" s="1"/>
  <c r="W33" i="66"/>
  <c r="T33" i="66"/>
  <c r="O33" i="66"/>
  <c r="N33" i="66"/>
  <c r="K33" i="66"/>
  <c r="J33" i="66"/>
  <c r="G33" i="66"/>
  <c r="I33" i="66" s="1"/>
  <c r="F33" i="66"/>
  <c r="C33" i="66"/>
  <c r="B33" i="66"/>
  <c r="AO30" i="66"/>
  <c r="AW29" i="66"/>
  <c r="AY29" i="66" s="1"/>
  <c r="AV29" i="66"/>
  <c r="AT29" i="66"/>
  <c r="AS29" i="66"/>
  <c r="AR29" i="66"/>
  <c r="AN29" i="66"/>
  <c r="AP29" i="66" s="1"/>
  <c r="AK29" i="66"/>
  <c r="AF29" i="66"/>
  <c r="AE29" i="66"/>
  <c r="AB29" i="66"/>
  <c r="AA29" i="66"/>
  <c r="X29" i="66"/>
  <c r="W29" i="66"/>
  <c r="T29" i="66"/>
  <c r="O29" i="66"/>
  <c r="N29" i="66"/>
  <c r="K29" i="66"/>
  <c r="J29" i="66"/>
  <c r="G29" i="66"/>
  <c r="F29" i="66"/>
  <c r="C29" i="66"/>
  <c r="E29" i="66" s="1"/>
  <c r="B29" i="66"/>
  <c r="AX28" i="66"/>
  <c r="AX30" i="66" s="1"/>
  <c r="AO28" i="66"/>
  <c r="AM28" i="66"/>
  <c r="AM30" i="66" s="1"/>
  <c r="AM49" i="66" s="1"/>
  <c r="AG28" i="66"/>
  <c r="AG30" i="66" s="1"/>
  <c r="AG49" i="66" s="1"/>
  <c r="AC28" i="66"/>
  <c r="AC30" i="66" s="1"/>
  <c r="AC49" i="66" s="1"/>
  <c r="Y28" i="66"/>
  <c r="Y30" i="66" s="1"/>
  <c r="P28" i="66"/>
  <c r="P30" i="66" s="1"/>
  <c r="P49" i="66" s="1"/>
  <c r="L28" i="66"/>
  <c r="L30" i="66" s="1"/>
  <c r="L49" i="66" s="1"/>
  <c r="H28" i="66"/>
  <c r="H30" i="66" s="1"/>
  <c r="BB27" i="66"/>
  <c r="AW27" i="66"/>
  <c r="AY27" i="66" s="1"/>
  <c r="AV27" i="66"/>
  <c r="AT27" i="66"/>
  <c r="AS27" i="66"/>
  <c r="AU27" i="66" s="1"/>
  <c r="AR27" i="66"/>
  <c r="AN27" i="66"/>
  <c r="AP27" i="66" s="1"/>
  <c r="AK27" i="66"/>
  <c r="AF27" i="66"/>
  <c r="AE27" i="66"/>
  <c r="AB27" i="66"/>
  <c r="AA27" i="66"/>
  <c r="X27" i="66"/>
  <c r="W27" i="66"/>
  <c r="T27" i="66"/>
  <c r="BF27" i="66" s="1"/>
  <c r="O27" i="66"/>
  <c r="N27" i="66"/>
  <c r="K27" i="66"/>
  <c r="J27" i="66"/>
  <c r="G27" i="66"/>
  <c r="F27" i="66"/>
  <c r="C27" i="66"/>
  <c r="B27" i="66"/>
  <c r="BB26" i="66"/>
  <c r="AW26" i="66"/>
  <c r="AY26" i="66" s="1"/>
  <c r="AV26" i="66"/>
  <c r="AT26" i="66"/>
  <c r="AS26" i="66"/>
  <c r="AR26" i="66"/>
  <c r="AN26" i="66"/>
  <c r="AP26" i="66" s="1"/>
  <c r="AK26" i="66"/>
  <c r="AF26" i="66"/>
  <c r="AE26" i="66"/>
  <c r="AB26" i="66"/>
  <c r="AA26" i="66"/>
  <c r="X26" i="66"/>
  <c r="W26" i="66"/>
  <c r="O26" i="66"/>
  <c r="N26" i="66"/>
  <c r="K26" i="66"/>
  <c r="J26" i="66"/>
  <c r="H26" i="66"/>
  <c r="T26" i="66" s="1"/>
  <c r="G26" i="66"/>
  <c r="I26" i="66" s="1"/>
  <c r="F26" i="66"/>
  <c r="C26" i="66"/>
  <c r="E26" i="66" s="1"/>
  <c r="B26" i="66"/>
  <c r="BB25" i="66"/>
  <c r="AW25" i="66"/>
  <c r="AY25" i="66" s="1"/>
  <c r="AV25" i="66"/>
  <c r="AT25" i="66"/>
  <c r="AS25" i="66"/>
  <c r="AR25" i="66"/>
  <c r="AN25" i="66"/>
  <c r="AP25" i="66" s="1"/>
  <c r="AK25" i="66"/>
  <c r="AF25" i="66"/>
  <c r="AE25" i="66"/>
  <c r="AB25" i="66"/>
  <c r="AA25" i="66"/>
  <c r="X25" i="66"/>
  <c r="W25" i="66"/>
  <c r="T25" i="66"/>
  <c r="O25" i="66"/>
  <c r="N25" i="66"/>
  <c r="K25" i="66"/>
  <c r="J25" i="66"/>
  <c r="G25" i="66"/>
  <c r="I25" i="66" s="1"/>
  <c r="F25" i="66"/>
  <c r="C25" i="66"/>
  <c r="E25" i="66" s="1"/>
  <c r="B25" i="66"/>
  <c r="AW24" i="66"/>
  <c r="AY24" i="66" s="1"/>
  <c r="AV24" i="66"/>
  <c r="AT24" i="66"/>
  <c r="AS24" i="66"/>
  <c r="AR24" i="66"/>
  <c r="AN24" i="66"/>
  <c r="AP24" i="66" s="1"/>
  <c r="AK24" i="66"/>
  <c r="AF24" i="66"/>
  <c r="AE24" i="66"/>
  <c r="AB24" i="66"/>
  <c r="AA24" i="66"/>
  <c r="X24" i="66"/>
  <c r="W24" i="66"/>
  <c r="T24" i="66"/>
  <c r="O24" i="66"/>
  <c r="N24" i="66"/>
  <c r="K24" i="66"/>
  <c r="J24" i="66"/>
  <c r="G24" i="66"/>
  <c r="I24" i="66" s="1"/>
  <c r="F24" i="66"/>
  <c r="C24" i="66"/>
  <c r="E24" i="66" s="1"/>
  <c r="B24" i="66"/>
  <c r="AW23" i="66"/>
  <c r="AY23" i="66" s="1"/>
  <c r="AV23" i="66"/>
  <c r="AT23" i="66"/>
  <c r="AS23" i="66"/>
  <c r="AR23" i="66"/>
  <c r="AN23" i="66"/>
  <c r="AP23" i="66" s="1"/>
  <c r="AK23" i="66"/>
  <c r="AF23" i="66"/>
  <c r="AE23" i="66"/>
  <c r="AB23" i="66"/>
  <c r="AA23" i="66"/>
  <c r="X23" i="66"/>
  <c r="W23" i="66"/>
  <c r="O23" i="66"/>
  <c r="N23" i="66"/>
  <c r="K23" i="66"/>
  <c r="J23" i="66"/>
  <c r="G23" i="66"/>
  <c r="I23" i="66" s="1"/>
  <c r="F23" i="66"/>
  <c r="D23" i="66"/>
  <c r="C23" i="66"/>
  <c r="B23" i="66"/>
  <c r="BB22" i="66"/>
  <c r="AW22" i="66"/>
  <c r="AY22" i="66" s="1"/>
  <c r="AV22" i="66"/>
  <c r="AT22" i="66"/>
  <c r="AS22" i="66"/>
  <c r="AU22" i="66" s="1"/>
  <c r="AR22" i="66"/>
  <c r="AN22" i="66"/>
  <c r="AP22" i="66" s="1"/>
  <c r="AK22" i="66"/>
  <c r="AF22" i="66"/>
  <c r="AE22" i="66"/>
  <c r="AB22" i="66"/>
  <c r="AA22" i="66"/>
  <c r="X22" i="66"/>
  <c r="W22" i="66"/>
  <c r="T22" i="66"/>
  <c r="O22" i="66"/>
  <c r="N22" i="66"/>
  <c r="K22" i="66"/>
  <c r="J22" i="66"/>
  <c r="G22" i="66"/>
  <c r="F22" i="66"/>
  <c r="C22" i="66"/>
  <c r="B22" i="66"/>
  <c r="AW21" i="66"/>
  <c r="AY21" i="66" s="1"/>
  <c r="AV21" i="66"/>
  <c r="AT21" i="66"/>
  <c r="AS21" i="66"/>
  <c r="AR21" i="66"/>
  <c r="AN21" i="66"/>
  <c r="AP21" i="66" s="1"/>
  <c r="AK21" i="66"/>
  <c r="AF21" i="66"/>
  <c r="AE21" i="66"/>
  <c r="AB21" i="66"/>
  <c r="AA21" i="66"/>
  <c r="X21" i="66"/>
  <c r="W21" i="66"/>
  <c r="T21" i="66"/>
  <c r="O21" i="66"/>
  <c r="N21" i="66"/>
  <c r="K21" i="66"/>
  <c r="J21" i="66"/>
  <c r="G21" i="66"/>
  <c r="F21" i="66"/>
  <c r="C21" i="66"/>
  <c r="E21" i="66" s="1"/>
  <c r="B21" i="66"/>
  <c r="BB20" i="66"/>
  <c r="AW20" i="66"/>
  <c r="AY20" i="66" s="1"/>
  <c r="AV20" i="66"/>
  <c r="AT20" i="66"/>
  <c r="AS20" i="66"/>
  <c r="AR20" i="66"/>
  <c r="AN20" i="66"/>
  <c r="AP20" i="66" s="1"/>
  <c r="AK20" i="66"/>
  <c r="AF20" i="66"/>
  <c r="AE20" i="66"/>
  <c r="AB20" i="66"/>
  <c r="AA20" i="66"/>
  <c r="X20" i="66"/>
  <c r="W20" i="66"/>
  <c r="T20" i="66"/>
  <c r="O20" i="66"/>
  <c r="N20" i="66"/>
  <c r="K20" i="66"/>
  <c r="J20" i="66"/>
  <c r="G20" i="66"/>
  <c r="F20" i="66"/>
  <c r="C20" i="66"/>
  <c r="B20" i="66"/>
  <c r="AW19" i="66"/>
  <c r="AY19" i="66" s="1"/>
  <c r="AV19" i="66"/>
  <c r="AT19" i="66"/>
  <c r="AS19" i="66"/>
  <c r="AR19" i="66"/>
  <c r="AN19" i="66"/>
  <c r="AP19" i="66" s="1"/>
  <c r="AK19" i="66"/>
  <c r="AF19" i="66"/>
  <c r="AE19" i="66"/>
  <c r="AB19" i="66"/>
  <c r="AA19" i="66"/>
  <c r="X19" i="66"/>
  <c r="W19" i="66"/>
  <c r="T19" i="66"/>
  <c r="O19" i="66"/>
  <c r="N19" i="66"/>
  <c r="K19" i="66"/>
  <c r="J19" i="66"/>
  <c r="G19" i="66"/>
  <c r="F19" i="66"/>
  <c r="C19" i="66"/>
  <c r="E19" i="66" s="1"/>
  <c r="B19" i="66"/>
  <c r="BB18" i="66"/>
  <c r="AW18" i="66"/>
  <c r="AY18" i="66" s="1"/>
  <c r="AV18" i="66"/>
  <c r="AT18" i="66"/>
  <c r="AS18" i="66"/>
  <c r="AU18" i="66" s="1"/>
  <c r="AR18" i="66"/>
  <c r="AN18" i="66"/>
  <c r="AP18" i="66" s="1"/>
  <c r="AK18" i="66"/>
  <c r="AF18" i="66"/>
  <c r="AE18" i="66"/>
  <c r="AB18" i="66"/>
  <c r="AA18" i="66"/>
  <c r="X18" i="66"/>
  <c r="W18" i="66"/>
  <c r="T18" i="66"/>
  <c r="O18" i="66"/>
  <c r="N18" i="66"/>
  <c r="K18" i="66"/>
  <c r="J18" i="66"/>
  <c r="G18" i="66"/>
  <c r="F18" i="66"/>
  <c r="C18" i="66"/>
  <c r="B18" i="66"/>
  <c r="AW17" i="66"/>
  <c r="AY17" i="66" s="1"/>
  <c r="AV17" i="66"/>
  <c r="AT17" i="66"/>
  <c r="AS17" i="66"/>
  <c r="AR17" i="66"/>
  <c r="AN17" i="66"/>
  <c r="AP17" i="66" s="1"/>
  <c r="AK17" i="66"/>
  <c r="AF17" i="66"/>
  <c r="AE17" i="66"/>
  <c r="AB17" i="66"/>
  <c r="AA17" i="66"/>
  <c r="X17" i="66"/>
  <c r="W17" i="66"/>
  <c r="T17" i="66"/>
  <c r="O17" i="66"/>
  <c r="N17" i="66"/>
  <c r="K17" i="66"/>
  <c r="J17" i="66"/>
  <c r="G17" i="66"/>
  <c r="F17" i="66"/>
  <c r="C17" i="66"/>
  <c r="E17" i="66" s="1"/>
  <c r="B17" i="66"/>
  <c r="BB16" i="66"/>
  <c r="AW16" i="66"/>
  <c r="AY16" i="66" s="1"/>
  <c r="AV16" i="66"/>
  <c r="AT16" i="66"/>
  <c r="AS16" i="66"/>
  <c r="AR16" i="66"/>
  <c r="AN16" i="66"/>
  <c r="AP16" i="66" s="1"/>
  <c r="AK16" i="66"/>
  <c r="AF16" i="66"/>
  <c r="AE16" i="66"/>
  <c r="AB16" i="66"/>
  <c r="AA16" i="66"/>
  <c r="X16" i="66"/>
  <c r="W16" i="66"/>
  <c r="T16" i="66"/>
  <c r="BF16" i="66" s="1"/>
  <c r="O16" i="66"/>
  <c r="N16" i="66"/>
  <c r="K16" i="66"/>
  <c r="J16" i="66"/>
  <c r="G16" i="66"/>
  <c r="F16" i="66"/>
  <c r="C16" i="66"/>
  <c r="B16" i="66"/>
  <c r="AW15" i="66"/>
  <c r="AY15" i="66" s="1"/>
  <c r="AV15" i="66"/>
  <c r="AT15" i="66"/>
  <c r="AS15" i="66"/>
  <c r="AR15" i="66"/>
  <c r="AN15" i="66"/>
  <c r="AP15" i="66" s="1"/>
  <c r="AK15" i="66"/>
  <c r="AF15" i="66"/>
  <c r="AE15" i="66"/>
  <c r="AB15" i="66"/>
  <c r="AA15" i="66"/>
  <c r="X15" i="66"/>
  <c r="W15" i="66"/>
  <c r="T15" i="66"/>
  <c r="O15" i="66"/>
  <c r="N15" i="66"/>
  <c r="K15" i="66"/>
  <c r="M15" i="66" s="1"/>
  <c r="J15" i="66"/>
  <c r="G15" i="66"/>
  <c r="F15" i="66"/>
  <c r="C15" i="66"/>
  <c r="E15" i="66" s="1"/>
  <c r="B15" i="66"/>
  <c r="AW14" i="66"/>
  <c r="AY14" i="66" s="1"/>
  <c r="AV14" i="66"/>
  <c r="AT14" i="66"/>
  <c r="AS14" i="66"/>
  <c r="AR14" i="66"/>
  <c r="AN14" i="66"/>
  <c r="AP14" i="66" s="1"/>
  <c r="AK14" i="66"/>
  <c r="AF14" i="66"/>
  <c r="AE14" i="66"/>
  <c r="AB14" i="66"/>
  <c r="AA14" i="66"/>
  <c r="X14" i="66"/>
  <c r="W14" i="66"/>
  <c r="T14" i="66"/>
  <c r="O14" i="66"/>
  <c r="N14" i="66"/>
  <c r="K14" i="66"/>
  <c r="J14" i="66"/>
  <c r="G14" i="66"/>
  <c r="I14" i="66" s="1"/>
  <c r="F14" i="66"/>
  <c r="C14" i="66"/>
  <c r="B14" i="66"/>
  <c r="AW13" i="66"/>
  <c r="AY13" i="66" s="1"/>
  <c r="AV13" i="66"/>
  <c r="AT13" i="66"/>
  <c r="AS13" i="66"/>
  <c r="AR13" i="66"/>
  <c r="AN13" i="66"/>
  <c r="AP13" i="66" s="1"/>
  <c r="AK13" i="66"/>
  <c r="AF13" i="66"/>
  <c r="AE13" i="66"/>
  <c r="AB13" i="66"/>
  <c r="AA13" i="66"/>
  <c r="X13" i="66"/>
  <c r="W13" i="66"/>
  <c r="T13" i="66"/>
  <c r="O13" i="66"/>
  <c r="N13" i="66"/>
  <c r="K13" i="66"/>
  <c r="J13" i="66"/>
  <c r="G13" i="66"/>
  <c r="I13" i="66" s="1"/>
  <c r="F13" i="66"/>
  <c r="C13" i="66"/>
  <c r="E13" i="66" s="1"/>
  <c r="B13" i="66"/>
  <c r="AW12" i="66"/>
  <c r="AV12" i="66"/>
  <c r="AT12" i="66"/>
  <c r="AS12" i="66"/>
  <c r="AR12" i="66"/>
  <c r="AN12" i="66"/>
  <c r="AP12" i="66" s="1"/>
  <c r="AK12" i="66"/>
  <c r="AF12" i="66"/>
  <c r="AE12" i="66"/>
  <c r="AB12" i="66"/>
  <c r="AA12" i="66"/>
  <c r="X12" i="66"/>
  <c r="W12" i="66"/>
  <c r="T12" i="66"/>
  <c r="O12" i="66"/>
  <c r="N12" i="66"/>
  <c r="K12" i="66"/>
  <c r="J12" i="66"/>
  <c r="G12" i="66"/>
  <c r="I12" i="66" s="1"/>
  <c r="F12" i="66"/>
  <c r="C12" i="66"/>
  <c r="E12" i="66" s="1"/>
  <c r="B12" i="66"/>
  <c r="AW11" i="66"/>
  <c r="AY11" i="66" s="1"/>
  <c r="AV11" i="66"/>
  <c r="AT11" i="66"/>
  <c r="AS11" i="66"/>
  <c r="AR11" i="66"/>
  <c r="AN11" i="66"/>
  <c r="AP11" i="66" s="1"/>
  <c r="AK11" i="66"/>
  <c r="AF11" i="66"/>
  <c r="AE11" i="66"/>
  <c r="AB11" i="66"/>
  <c r="AA11" i="66"/>
  <c r="X11" i="66"/>
  <c r="W11" i="66"/>
  <c r="T11" i="66"/>
  <c r="O11" i="66"/>
  <c r="N11" i="66"/>
  <c r="K11" i="66"/>
  <c r="J11" i="66"/>
  <c r="G11" i="66"/>
  <c r="F11" i="66"/>
  <c r="C11" i="66"/>
  <c r="E11" i="66" s="1"/>
  <c r="B11" i="66"/>
  <c r="BB10" i="66"/>
  <c r="AW10" i="66"/>
  <c r="AV10" i="66"/>
  <c r="AT10" i="66"/>
  <c r="AS10" i="66"/>
  <c r="AU10" i="66" s="1"/>
  <c r="AR10" i="66"/>
  <c r="AN10" i="66"/>
  <c r="AP10" i="66" s="1"/>
  <c r="AK10" i="66"/>
  <c r="AF10" i="66"/>
  <c r="AE10" i="66"/>
  <c r="AB10" i="66"/>
  <c r="AA10" i="66"/>
  <c r="X10" i="66"/>
  <c r="W10" i="66"/>
  <c r="T10" i="66"/>
  <c r="O10" i="66"/>
  <c r="N10" i="66"/>
  <c r="K10" i="66"/>
  <c r="J10" i="66"/>
  <c r="G10" i="66"/>
  <c r="F10" i="66"/>
  <c r="C10" i="66"/>
  <c r="B10" i="66"/>
  <c r="F86" i="61"/>
  <c r="F88" i="61"/>
  <c r="K47" i="66" l="1"/>
  <c r="AU45" i="67"/>
  <c r="AJ46" i="66"/>
  <c r="AQ37" i="67"/>
  <c r="AJ11" i="66"/>
  <c r="O47" i="66"/>
  <c r="Q47" i="66" s="1"/>
  <c r="AZ14" i="66"/>
  <c r="AA47" i="66"/>
  <c r="AO34" i="67"/>
  <c r="AI11" i="66"/>
  <c r="AE47" i="66"/>
  <c r="BA39" i="66"/>
  <c r="AJ34" i="66"/>
  <c r="AL34" i="66" s="1"/>
  <c r="AU35" i="67"/>
  <c r="AO18" i="67"/>
  <c r="AU34" i="67"/>
  <c r="BA24" i="66"/>
  <c r="AZ27" i="66"/>
  <c r="AZ34" i="66"/>
  <c r="BA36" i="66"/>
  <c r="W37" i="66"/>
  <c r="BA35" i="66"/>
  <c r="N47" i="66"/>
  <c r="AS47" i="66"/>
  <c r="AZ22" i="66"/>
  <c r="BA25" i="66"/>
  <c r="BC25" i="66" s="1"/>
  <c r="AZ24" i="66"/>
  <c r="BA33" i="66"/>
  <c r="AZ15" i="66"/>
  <c r="BA13" i="66"/>
  <c r="BA15" i="66"/>
  <c r="AZ20" i="66"/>
  <c r="AJ21" i="66"/>
  <c r="AJ43" i="66"/>
  <c r="AL43" i="66" s="1"/>
  <c r="AP24" i="67"/>
  <c r="AH48" i="67"/>
  <c r="AQ11" i="67"/>
  <c r="AU12" i="67"/>
  <c r="AU17" i="67"/>
  <c r="AU22" i="67"/>
  <c r="U49" i="67"/>
  <c r="Y37" i="67"/>
  <c r="AU33" i="67"/>
  <c r="AU14" i="67"/>
  <c r="AL49" i="67"/>
  <c r="P47" i="67"/>
  <c r="AE11" i="67"/>
  <c r="AU13" i="67"/>
  <c r="E16" i="67"/>
  <c r="AU18" i="67"/>
  <c r="AU23" i="67"/>
  <c r="AO36" i="67"/>
  <c r="B47" i="67"/>
  <c r="J47" i="67"/>
  <c r="S47" i="67"/>
  <c r="AC47" i="67"/>
  <c r="AE47" i="67" s="1"/>
  <c r="AZ16" i="66"/>
  <c r="AZ18" i="66"/>
  <c r="AZ41" i="66"/>
  <c r="G47" i="66"/>
  <c r="BA46" i="66"/>
  <c r="AK37" i="67"/>
  <c r="F47" i="67"/>
  <c r="AG47" i="67"/>
  <c r="AI47" i="67" s="1"/>
  <c r="R10" i="66"/>
  <c r="BA11" i="66"/>
  <c r="AJ17" i="66"/>
  <c r="BA17" i="66"/>
  <c r="AI24" i="66"/>
  <c r="R27" i="66"/>
  <c r="F37" i="66"/>
  <c r="AJ35" i="66"/>
  <c r="AI36" i="66"/>
  <c r="AZ36" i="66"/>
  <c r="BD36" i="66" s="1"/>
  <c r="AJ41" i="66"/>
  <c r="BA41" i="66"/>
  <c r="BC41" i="66" s="1"/>
  <c r="AO11" i="67"/>
  <c r="W16" i="67"/>
  <c r="AO17" i="67"/>
  <c r="AO21" i="67"/>
  <c r="AO27" i="67"/>
  <c r="J37" i="67"/>
  <c r="AP35" i="67"/>
  <c r="AR35" i="67" s="1"/>
  <c r="AJ47" i="67"/>
  <c r="BA12" i="66"/>
  <c r="O37" i="66"/>
  <c r="O48" i="66" s="1"/>
  <c r="Q48" i="66" s="1"/>
  <c r="AA37" i="66"/>
  <c r="AI35" i="66"/>
  <c r="R36" i="66"/>
  <c r="AR47" i="66"/>
  <c r="AO16" i="67"/>
  <c r="W24" i="67"/>
  <c r="W35" i="67"/>
  <c r="AY12" i="66"/>
  <c r="AP12" i="67"/>
  <c r="AR12" i="67" s="1"/>
  <c r="AO24" i="67"/>
  <c r="AP39" i="67"/>
  <c r="AR39" i="67" s="1"/>
  <c r="R35" i="66"/>
  <c r="X22" i="67"/>
  <c r="Z22" i="67" s="1"/>
  <c r="AP23" i="67"/>
  <c r="AR23" i="67" s="1"/>
  <c r="R12" i="66"/>
  <c r="AV37" i="66"/>
  <c r="AV48" i="66" s="1"/>
  <c r="S35" i="66"/>
  <c r="AZ10" i="66"/>
  <c r="BA14" i="66"/>
  <c r="AI41" i="66"/>
  <c r="BA45" i="66"/>
  <c r="Z46" i="66"/>
  <c r="O47" i="67"/>
  <c r="AJ12" i="66"/>
  <c r="AJ13" i="66"/>
  <c r="BA21" i="66"/>
  <c r="X23" i="67"/>
  <c r="S21" i="66"/>
  <c r="U21" i="66" s="1"/>
  <c r="AU21" i="66"/>
  <c r="AI26" i="66"/>
  <c r="AI39" i="66"/>
  <c r="Z43" i="66"/>
  <c r="AP17" i="67"/>
  <c r="AR17" i="67" s="1"/>
  <c r="X19" i="67"/>
  <c r="Z19" i="67" s="1"/>
  <c r="AJ37" i="67"/>
  <c r="AU17" i="66"/>
  <c r="AJ20" i="66"/>
  <c r="AI23" i="66"/>
  <c r="AU23" i="66"/>
  <c r="AJ26" i="66"/>
  <c r="AI27" i="66"/>
  <c r="S46" i="66"/>
  <c r="AU46" i="66"/>
  <c r="AO14" i="67"/>
  <c r="AO26" i="67"/>
  <c r="AJ23" i="66"/>
  <c r="AJ27" i="66"/>
  <c r="AJ29" i="66"/>
  <c r="E46" i="66"/>
  <c r="W13" i="67"/>
  <c r="AP26" i="67"/>
  <c r="AR26" i="67" s="1"/>
  <c r="AP34" i="67"/>
  <c r="AR34" i="67" s="1"/>
  <c r="AO39" i="67"/>
  <c r="AP41" i="67"/>
  <c r="AR41" i="67" s="1"/>
  <c r="N28" i="66"/>
  <c r="N30" i="66" s="1"/>
  <c r="AF28" i="66"/>
  <c r="AF30" i="66" s="1"/>
  <c r="S11" i="66"/>
  <c r="U11" i="66" s="1"/>
  <c r="AJ15" i="66"/>
  <c r="R17" i="66"/>
  <c r="AI18" i="66"/>
  <c r="BA18" i="66"/>
  <c r="R19" i="66"/>
  <c r="BA19" i="66"/>
  <c r="AI22" i="66"/>
  <c r="BA22" i="66"/>
  <c r="BC22" i="66" s="1"/>
  <c r="R23" i="66"/>
  <c r="BA23" i="66"/>
  <c r="S24" i="66"/>
  <c r="AU25" i="66"/>
  <c r="AI29" i="66"/>
  <c r="BA29" i="66"/>
  <c r="R34" i="66"/>
  <c r="AI34" i="66"/>
  <c r="BA43" i="66"/>
  <c r="BC43" i="66" s="1"/>
  <c r="AP45" i="66"/>
  <c r="AZ45" i="66"/>
  <c r="AZ47" i="66" s="1"/>
  <c r="AK28" i="67"/>
  <c r="AK30" i="67" s="1"/>
  <c r="W18" i="67"/>
  <c r="W19" i="67"/>
  <c r="W22" i="67"/>
  <c r="AI45" i="67"/>
  <c r="AI12" i="66"/>
  <c r="R14" i="66"/>
  <c r="J28" i="66"/>
  <c r="J30" i="66" s="1"/>
  <c r="AJ16" i="66"/>
  <c r="AI19" i="66"/>
  <c r="AZ19" i="66"/>
  <c r="AI20" i="66"/>
  <c r="R21" i="66"/>
  <c r="AZ23" i="66"/>
  <c r="R25" i="66"/>
  <c r="S26" i="66"/>
  <c r="U26" i="66" s="1"/>
  <c r="BA27" i="66"/>
  <c r="BC27" i="66" s="1"/>
  <c r="Z29" i="66"/>
  <c r="R43" i="66"/>
  <c r="W11" i="67"/>
  <c r="W14" i="67"/>
  <c r="AO20" i="67"/>
  <c r="AO25" i="67"/>
  <c r="B37" i="67"/>
  <c r="B48" i="67" s="1"/>
  <c r="P37" i="67"/>
  <c r="AE39" i="67"/>
  <c r="W41" i="67"/>
  <c r="AI41" i="67"/>
  <c r="W45" i="67"/>
  <c r="W28" i="66"/>
  <c r="W30" i="66" s="1"/>
  <c r="R13" i="66"/>
  <c r="AI13" i="66"/>
  <c r="AZ13" i="66"/>
  <c r="AJ19" i="66"/>
  <c r="BA26" i="66"/>
  <c r="BC26" i="66" s="1"/>
  <c r="N37" i="66"/>
  <c r="J47" i="66"/>
  <c r="I47" i="66"/>
  <c r="AP45" i="67"/>
  <c r="AR45" i="67" s="1"/>
  <c r="S17" i="66"/>
  <c r="R24" i="66"/>
  <c r="B37" i="66"/>
  <c r="B48" i="66" s="1"/>
  <c r="AI43" i="66"/>
  <c r="AU45" i="66"/>
  <c r="BC46" i="66"/>
  <c r="AP15" i="67"/>
  <c r="AR15" i="67" s="1"/>
  <c r="X18" i="67"/>
  <c r="Z18" i="67" s="1"/>
  <c r="AO23" i="67"/>
  <c r="W27" i="67"/>
  <c r="AS27" i="67" s="1"/>
  <c r="O37" i="67"/>
  <c r="O48" i="67" s="1"/>
  <c r="W39" i="67"/>
  <c r="X39" i="67"/>
  <c r="Z39" i="67" s="1"/>
  <c r="AO46" i="67"/>
  <c r="X28" i="66"/>
  <c r="X30" i="66" s="1"/>
  <c r="R11" i="66"/>
  <c r="S15" i="66"/>
  <c r="AI17" i="66"/>
  <c r="R20" i="66"/>
  <c r="AJ24" i="66"/>
  <c r="AZ25" i="66"/>
  <c r="AJ36" i="66"/>
  <c r="R39" i="66"/>
  <c r="O28" i="67"/>
  <c r="O30" i="67" s="1"/>
  <c r="AO13" i="67"/>
  <c r="W17" i="67"/>
  <c r="AO19" i="67"/>
  <c r="W23" i="67"/>
  <c r="W26" i="67"/>
  <c r="AS26" i="67" s="1"/>
  <c r="K47" i="67"/>
  <c r="M47" i="67" s="1"/>
  <c r="AI14" i="66"/>
  <c r="AU14" i="66"/>
  <c r="R15" i="66"/>
  <c r="S18" i="66"/>
  <c r="U18" i="66" s="1"/>
  <c r="S19" i="66"/>
  <c r="U19" i="66" s="1"/>
  <c r="AI21" i="66"/>
  <c r="S22" i="66"/>
  <c r="AI25" i="66"/>
  <c r="R26" i="66"/>
  <c r="R29" i="66"/>
  <c r="S39" i="66"/>
  <c r="U39" i="66" s="1"/>
  <c r="AU41" i="66"/>
  <c r="F47" i="66"/>
  <c r="AG28" i="67"/>
  <c r="AG30" i="67" s="1"/>
  <c r="AE12" i="67"/>
  <c r="X20" i="67"/>
  <c r="Z20" i="67" s="1"/>
  <c r="X25" i="67"/>
  <c r="Z25" i="67" s="1"/>
  <c r="AP29" i="67"/>
  <c r="AR29" i="67" s="1"/>
  <c r="AO33" i="67"/>
  <c r="AO41" i="67"/>
  <c r="AO43" i="67"/>
  <c r="S13" i="66"/>
  <c r="AJ14" i="66"/>
  <c r="AI15" i="66"/>
  <c r="AI16" i="66"/>
  <c r="R18" i="66"/>
  <c r="AJ18" i="66"/>
  <c r="R22" i="66"/>
  <c r="AJ22" i="66"/>
  <c r="AJ25" i="66"/>
  <c r="G37" i="66"/>
  <c r="R41" i="66"/>
  <c r="AI46" i="66"/>
  <c r="AP11" i="67"/>
  <c r="AR11" i="67" s="1"/>
  <c r="W15" i="67"/>
  <c r="X21" i="67"/>
  <c r="Z21" i="67" s="1"/>
  <c r="AP27" i="67"/>
  <c r="AR27" i="67" s="1"/>
  <c r="AO29" i="67"/>
  <c r="AO35" i="67"/>
  <c r="W36" i="67"/>
  <c r="W46" i="67"/>
  <c r="AK47" i="67"/>
  <c r="C28" i="67"/>
  <c r="C30" i="67" s="1"/>
  <c r="X10" i="67"/>
  <c r="E10" i="67"/>
  <c r="L30" i="67"/>
  <c r="X13" i="67"/>
  <c r="Z13" i="67" s="1"/>
  <c r="I13" i="67"/>
  <c r="X14" i="67"/>
  <c r="E14" i="67"/>
  <c r="X15" i="67"/>
  <c r="E15" i="67"/>
  <c r="AQ16" i="67"/>
  <c r="AU16" i="67" s="1"/>
  <c r="AH28" i="67"/>
  <c r="AI16" i="67"/>
  <c r="AU21" i="67"/>
  <c r="X24" i="67"/>
  <c r="E24" i="67"/>
  <c r="AR24" i="67"/>
  <c r="AU39" i="67"/>
  <c r="AF28" i="67"/>
  <c r="AF30" i="67" s="1"/>
  <c r="M11" i="67"/>
  <c r="X12" i="67"/>
  <c r="I12" i="67"/>
  <c r="AP18" i="67"/>
  <c r="AR18" i="67" s="1"/>
  <c r="E19" i="67"/>
  <c r="AP19" i="67"/>
  <c r="W20" i="67"/>
  <c r="AP20" i="67"/>
  <c r="AE20" i="67"/>
  <c r="AO22" i="67"/>
  <c r="AB28" i="67"/>
  <c r="AB30" i="67" s="1"/>
  <c r="AE43" i="67"/>
  <c r="AP43" i="67"/>
  <c r="AR43" i="67" s="1"/>
  <c r="G28" i="67"/>
  <c r="T28" i="67"/>
  <c r="T30" i="67" s="1"/>
  <c r="AP10" i="67"/>
  <c r="E11" i="67"/>
  <c r="Y11" i="67"/>
  <c r="AD30" i="67"/>
  <c r="AO15" i="67"/>
  <c r="AP21" i="67"/>
  <c r="AR21" i="67" s="1"/>
  <c r="AP22" i="67"/>
  <c r="AR22" i="67" s="1"/>
  <c r="W25" i="67"/>
  <c r="AP25" i="67"/>
  <c r="AR25" i="67" s="1"/>
  <c r="AE25" i="67"/>
  <c r="AC37" i="67"/>
  <c r="AE33" i="67"/>
  <c r="AP33" i="67"/>
  <c r="AB37" i="67"/>
  <c r="AP36" i="67"/>
  <c r="AR36" i="67" s="1"/>
  <c r="AE36" i="67"/>
  <c r="F28" i="67"/>
  <c r="F30" i="67" s="1"/>
  <c r="S28" i="67"/>
  <c r="S30" i="67" s="1"/>
  <c r="AO10" i="67"/>
  <c r="X11" i="67"/>
  <c r="W12" i="67"/>
  <c r="AP16" i="67"/>
  <c r="AE16" i="67"/>
  <c r="AC28" i="67"/>
  <c r="AC30" i="67" s="1"/>
  <c r="X17" i="67"/>
  <c r="E17" i="67"/>
  <c r="W21" i="67"/>
  <c r="B28" i="67"/>
  <c r="B30" i="67" s="1"/>
  <c r="W10" i="67"/>
  <c r="AJ28" i="67"/>
  <c r="AJ30" i="67" s="1"/>
  <c r="AO12" i="67"/>
  <c r="AP13" i="67"/>
  <c r="AR13" i="67" s="1"/>
  <c r="AP14" i="67"/>
  <c r="AR14" i="67" s="1"/>
  <c r="J28" i="67"/>
  <c r="J30" i="67" s="1"/>
  <c r="X16" i="67"/>
  <c r="X26" i="67"/>
  <c r="X27" i="67"/>
  <c r="D30" i="67"/>
  <c r="F37" i="67"/>
  <c r="W33" i="67"/>
  <c r="AF37" i="67"/>
  <c r="H47" i="67"/>
  <c r="H48" i="67" s="1"/>
  <c r="H49" i="67" s="1"/>
  <c r="I46" i="67"/>
  <c r="Y46" i="67"/>
  <c r="Y47" i="67" s="1"/>
  <c r="AU24" i="67"/>
  <c r="W29" i="67"/>
  <c r="X33" i="67"/>
  <c r="Z33" i="67" s="1"/>
  <c r="P28" i="67"/>
  <c r="P30" i="67" s="1"/>
  <c r="AU10" i="67"/>
  <c r="I21" i="67"/>
  <c r="E22" i="67"/>
  <c r="E23" i="67"/>
  <c r="AE26" i="67"/>
  <c r="AE27" i="67"/>
  <c r="S37" i="67"/>
  <c r="AG37" i="67"/>
  <c r="X35" i="67"/>
  <c r="I45" i="67"/>
  <c r="G47" i="67"/>
  <c r="X45" i="67"/>
  <c r="Z45" i="67" s="1"/>
  <c r="AE45" i="67"/>
  <c r="AP46" i="67"/>
  <c r="AR46" i="67" s="1"/>
  <c r="AD48" i="67"/>
  <c r="X29" i="67"/>
  <c r="W43" i="67"/>
  <c r="X43" i="67"/>
  <c r="Z43" i="67" s="1"/>
  <c r="X46" i="67"/>
  <c r="C47" i="67"/>
  <c r="E47" i="67" s="1"/>
  <c r="E46" i="67"/>
  <c r="K28" i="67"/>
  <c r="K30" i="67" s="1"/>
  <c r="AU27" i="67"/>
  <c r="K37" i="67"/>
  <c r="M33" i="67"/>
  <c r="T37" i="67"/>
  <c r="W34" i="67"/>
  <c r="AS34" i="67" s="1"/>
  <c r="T47" i="67"/>
  <c r="V47" i="67" s="1"/>
  <c r="V46" i="67"/>
  <c r="AQ47" i="67"/>
  <c r="AQ48" i="67" s="1"/>
  <c r="G37" i="67"/>
  <c r="X36" i="67"/>
  <c r="X41" i="67"/>
  <c r="AF47" i="67"/>
  <c r="C37" i="67"/>
  <c r="I33" i="67"/>
  <c r="V33" i="67"/>
  <c r="X34" i="67"/>
  <c r="E34" i="67"/>
  <c r="E35" i="67"/>
  <c r="AU36" i="67"/>
  <c r="AB47" i="67"/>
  <c r="AO45" i="67"/>
  <c r="U24" i="66"/>
  <c r="BA20" i="66"/>
  <c r="BC20" i="66" s="1"/>
  <c r="AU20" i="66"/>
  <c r="D28" i="66"/>
  <c r="T23" i="66"/>
  <c r="T28" i="66" s="1"/>
  <c r="E23" i="66"/>
  <c r="AB28" i="66"/>
  <c r="AB30" i="66" s="1"/>
  <c r="AP33" i="66"/>
  <c r="AN37" i="66"/>
  <c r="AS37" i="66"/>
  <c r="BA34" i="66"/>
  <c r="AU34" i="66"/>
  <c r="S43" i="66"/>
  <c r="E43" i="66"/>
  <c r="B28" i="66"/>
  <c r="B30" i="66" s="1"/>
  <c r="AA28" i="66"/>
  <c r="AA30" i="66" s="1"/>
  <c r="AI10" i="66"/>
  <c r="AR28" i="66"/>
  <c r="AR30" i="66" s="1"/>
  <c r="AV28" i="66"/>
  <c r="AV30" i="66" s="1"/>
  <c r="AZ11" i="66"/>
  <c r="BD11" i="66" s="1"/>
  <c r="S12" i="66"/>
  <c r="AZ12" i="66"/>
  <c r="BB13" i="66"/>
  <c r="AU13" i="66"/>
  <c r="S14" i="66"/>
  <c r="E14" i="66"/>
  <c r="AZ17" i="66"/>
  <c r="BC18" i="66"/>
  <c r="BB19" i="66"/>
  <c r="BF19" i="66" s="1"/>
  <c r="AU19" i="66"/>
  <c r="S20" i="66"/>
  <c r="U20" i="66" s="1"/>
  <c r="E20" i="66"/>
  <c r="BF22" i="66"/>
  <c r="S23" i="66"/>
  <c r="BB24" i="66"/>
  <c r="BC24" i="66" s="1"/>
  <c r="AU24" i="66"/>
  <c r="BF26" i="66"/>
  <c r="AE37" i="66"/>
  <c r="AE48" i="66" s="1"/>
  <c r="AI33" i="66"/>
  <c r="E41" i="66"/>
  <c r="S41" i="66"/>
  <c r="BE41" i="66" s="1"/>
  <c r="C28" i="66"/>
  <c r="C30" i="66" s="1"/>
  <c r="S10" i="66"/>
  <c r="U10" i="66" s="1"/>
  <c r="E10" i="66"/>
  <c r="AK28" i="66"/>
  <c r="AS28" i="66"/>
  <c r="AS30" i="66" s="1"/>
  <c r="BA10" i="66"/>
  <c r="BC10" i="66" s="1"/>
  <c r="AY10" i="66"/>
  <c r="AW28" i="66"/>
  <c r="BF10" i="66"/>
  <c r="R16" i="66"/>
  <c r="BA16" i="66"/>
  <c r="BC16" i="66" s="1"/>
  <c r="AU16" i="66"/>
  <c r="BF20" i="66"/>
  <c r="BF24" i="66"/>
  <c r="H49" i="66"/>
  <c r="T35" i="66"/>
  <c r="T37" i="66" s="1"/>
  <c r="D37" i="66"/>
  <c r="E35" i="66"/>
  <c r="F28" i="66"/>
  <c r="F30" i="66" s="1"/>
  <c r="AE28" i="66"/>
  <c r="AE30" i="66" s="1"/>
  <c r="AN28" i="66"/>
  <c r="BB11" i="66"/>
  <c r="BC11" i="66" s="1"/>
  <c r="AU11" i="66"/>
  <c r="AU12" i="66"/>
  <c r="BB12" i="66"/>
  <c r="U15" i="66"/>
  <c r="BB15" i="66"/>
  <c r="AU15" i="66"/>
  <c r="S16" i="66"/>
  <c r="U16" i="66" s="1"/>
  <c r="E16" i="66"/>
  <c r="BF18" i="66"/>
  <c r="AZ21" i="66"/>
  <c r="BF25" i="66"/>
  <c r="G28" i="66"/>
  <c r="G30" i="66" s="1"/>
  <c r="O28" i="66"/>
  <c r="O30" i="66" s="1"/>
  <c r="AJ10" i="66"/>
  <c r="BB14" i="66"/>
  <c r="BC14" i="66" s="1"/>
  <c r="BB17" i="66"/>
  <c r="BB21" i="66"/>
  <c r="BB23" i="66"/>
  <c r="S25" i="66"/>
  <c r="AZ26" i="66"/>
  <c r="BB29" i="66"/>
  <c r="AU29" i="66"/>
  <c r="S33" i="66"/>
  <c r="U33" i="66" s="1"/>
  <c r="E33" i="66"/>
  <c r="R33" i="66"/>
  <c r="AZ33" i="66"/>
  <c r="AR37" i="66"/>
  <c r="AW37" i="66"/>
  <c r="E34" i="66"/>
  <c r="S34" i="66"/>
  <c r="U34" i="66" s="1"/>
  <c r="AU35" i="66"/>
  <c r="BB35" i="66"/>
  <c r="C37" i="66"/>
  <c r="AJ39" i="66"/>
  <c r="R45" i="66"/>
  <c r="AK47" i="66"/>
  <c r="S29" i="66"/>
  <c r="I29" i="66"/>
  <c r="AO49" i="66"/>
  <c r="AX49" i="66"/>
  <c r="M33" i="66"/>
  <c r="K37" i="66"/>
  <c r="BB36" i="66"/>
  <c r="AU36" i="66"/>
  <c r="H48" i="66"/>
  <c r="AU39" i="66"/>
  <c r="BB39" i="66"/>
  <c r="BF39" i="66"/>
  <c r="C47" i="66"/>
  <c r="E47" i="66" s="1"/>
  <c r="S45" i="66"/>
  <c r="E45" i="66"/>
  <c r="AL46" i="66"/>
  <c r="K28" i="66"/>
  <c r="AT28" i="66"/>
  <c r="E18" i="66"/>
  <c r="E22" i="66"/>
  <c r="AU26" i="66"/>
  <c r="S27" i="66"/>
  <c r="E27" i="66"/>
  <c r="AZ29" i="66"/>
  <c r="AB37" i="66"/>
  <c r="AD37" i="66" s="1"/>
  <c r="AD33" i="66"/>
  <c r="AK37" i="66"/>
  <c r="AT37" i="66"/>
  <c r="AU33" i="66"/>
  <c r="BB33" i="66"/>
  <c r="AZ35" i="66"/>
  <c r="BF43" i="66"/>
  <c r="W47" i="66"/>
  <c r="W48" i="66" s="1"/>
  <c r="AI45" i="66"/>
  <c r="AI47" i="66" s="1"/>
  <c r="J37" i="66"/>
  <c r="AF37" i="66"/>
  <c r="X47" i="66"/>
  <c r="Z47" i="66" s="1"/>
  <c r="Z45" i="66"/>
  <c r="AF47" i="66"/>
  <c r="AT47" i="66"/>
  <c r="BB45" i="66"/>
  <c r="R46" i="66"/>
  <c r="BD46" i="66" s="1"/>
  <c r="AW47" i="66"/>
  <c r="AY47" i="66" s="1"/>
  <c r="S36" i="66"/>
  <c r="AK41" i="66"/>
  <c r="Z41" i="66"/>
  <c r="T47" i="66"/>
  <c r="BF46" i="66"/>
  <c r="X37" i="66"/>
  <c r="AJ33" i="66"/>
  <c r="AL33" i="66" s="1"/>
  <c r="Y48" i="66"/>
  <c r="Y49" i="66" s="1"/>
  <c r="AB47" i="66"/>
  <c r="AJ45" i="66"/>
  <c r="F26" i="61"/>
  <c r="F42" i="61"/>
  <c r="E49" i="61"/>
  <c r="G43" i="61"/>
  <c r="F38" i="61"/>
  <c r="E38" i="61"/>
  <c r="F34" i="61"/>
  <c r="E34" i="61"/>
  <c r="F32" i="61"/>
  <c r="E32" i="61"/>
  <c r="G28" i="61"/>
  <c r="F25" i="61"/>
  <c r="E25" i="61"/>
  <c r="G22" i="61"/>
  <c r="AA48" i="66" l="1"/>
  <c r="BE11" i="66"/>
  <c r="BG11" i="66" s="1"/>
  <c r="BD16" i="66"/>
  <c r="BC39" i="66"/>
  <c r="BE13" i="66"/>
  <c r="BE24" i="66"/>
  <c r="BG24" i="66" s="1"/>
  <c r="AR48" i="66"/>
  <c r="BF11" i="66"/>
  <c r="BC13" i="66"/>
  <c r="O49" i="66"/>
  <c r="J48" i="67"/>
  <c r="J49" i="67" s="1"/>
  <c r="BD39" i="66"/>
  <c r="BC12" i="66"/>
  <c r="AV49" i="66"/>
  <c r="BC35" i="66"/>
  <c r="BA37" i="66"/>
  <c r="AS35" i="67"/>
  <c r="BC15" i="66"/>
  <c r="AE49" i="66"/>
  <c r="F48" i="66"/>
  <c r="F49" i="66" s="1"/>
  <c r="N48" i="66"/>
  <c r="AS18" i="67"/>
  <c r="BD21" i="66"/>
  <c r="J48" i="66"/>
  <c r="J49" i="66" s="1"/>
  <c r="AA49" i="66"/>
  <c r="BE15" i="66"/>
  <c r="BE46" i="66"/>
  <c r="AU47" i="66"/>
  <c r="BC36" i="66"/>
  <c r="BE22" i="66"/>
  <c r="AS13" i="67"/>
  <c r="AT27" i="67"/>
  <c r="AV27" i="67" s="1"/>
  <c r="AS48" i="66"/>
  <c r="AS49" i="66" s="1"/>
  <c r="BE35" i="66"/>
  <c r="U46" i="66"/>
  <c r="BD35" i="66"/>
  <c r="BC21" i="66"/>
  <c r="AI37" i="66"/>
  <c r="AG48" i="67"/>
  <c r="AG49" i="67" s="1"/>
  <c r="AS36" i="67"/>
  <c r="BD26" i="66"/>
  <c r="BC17" i="66"/>
  <c r="BE23" i="66"/>
  <c r="AS21" i="67"/>
  <c r="G48" i="66"/>
  <c r="I48" i="66" s="1"/>
  <c r="BD20" i="66"/>
  <c r="AJ48" i="67"/>
  <c r="AJ49" i="67" s="1"/>
  <c r="AT23" i="67"/>
  <c r="AV23" i="67" s="1"/>
  <c r="BD43" i="66"/>
  <c r="AS24" i="67"/>
  <c r="AS16" i="67"/>
  <c r="AT26" i="67"/>
  <c r="AV26" i="67" s="1"/>
  <c r="B49" i="67"/>
  <c r="AP37" i="67"/>
  <c r="AR37" i="67" s="1"/>
  <c r="AS22" i="67"/>
  <c r="AT12" i="67"/>
  <c r="AK48" i="67"/>
  <c r="AK49" i="67" s="1"/>
  <c r="AS17" i="67"/>
  <c r="AT36" i="67"/>
  <c r="K48" i="67"/>
  <c r="M48" i="67" s="1"/>
  <c r="S48" i="67"/>
  <c r="S49" i="67" s="1"/>
  <c r="F48" i="67"/>
  <c r="F49" i="67" s="1"/>
  <c r="AS25" i="67"/>
  <c r="P48" i="67"/>
  <c r="P49" i="67" s="1"/>
  <c r="AS14" i="67"/>
  <c r="C48" i="66"/>
  <c r="C49" i="66" s="1"/>
  <c r="BC29" i="66"/>
  <c r="BD12" i="66"/>
  <c r="U13" i="66"/>
  <c r="Z23" i="67"/>
  <c r="AT19" i="67"/>
  <c r="AV19" i="67" s="1"/>
  <c r="AT39" i="67"/>
  <c r="AV39" i="67" s="1"/>
  <c r="BD24" i="66"/>
  <c r="BD27" i="66"/>
  <c r="AZ37" i="66"/>
  <c r="AZ48" i="66" s="1"/>
  <c r="BE29" i="66"/>
  <c r="I37" i="66"/>
  <c r="AL36" i="66"/>
  <c r="AI28" i="66"/>
  <c r="AI30" i="66" s="1"/>
  <c r="I47" i="67"/>
  <c r="AT11" i="67"/>
  <c r="BD41" i="66"/>
  <c r="AS11" i="67"/>
  <c r="BA47" i="66"/>
  <c r="W49" i="66"/>
  <c r="AR33" i="67"/>
  <c r="AO47" i="67"/>
  <c r="AR19" i="67"/>
  <c r="AS20" i="67"/>
  <c r="BC34" i="66"/>
  <c r="AT43" i="67"/>
  <c r="AV43" i="67" s="1"/>
  <c r="AT25" i="67"/>
  <c r="AV25" i="67" s="1"/>
  <c r="AS15" i="67"/>
  <c r="W47" i="67"/>
  <c r="BE21" i="66"/>
  <c r="BD29" i="66"/>
  <c r="Z27" i="67"/>
  <c r="AS43" i="67"/>
  <c r="AS29" i="67"/>
  <c r="E28" i="67"/>
  <c r="AS41" i="67"/>
  <c r="AS39" i="67"/>
  <c r="BG46" i="66"/>
  <c r="Z26" i="67"/>
  <c r="AS46" i="67"/>
  <c r="O49" i="67"/>
  <c r="BE19" i="66"/>
  <c r="BG19" i="66" s="1"/>
  <c r="N49" i="66"/>
  <c r="BD19" i="66"/>
  <c r="U29" i="66"/>
  <c r="AS45" i="67"/>
  <c r="AT20" i="67"/>
  <c r="AV20" i="67" s="1"/>
  <c r="AR16" i="67"/>
  <c r="BD13" i="66"/>
  <c r="BE26" i="66"/>
  <c r="BG26" i="66" s="1"/>
  <c r="I28" i="66"/>
  <c r="BE16" i="66"/>
  <c r="BG16" i="66" s="1"/>
  <c r="B49" i="66"/>
  <c r="AB48" i="67"/>
  <c r="BD25" i="66"/>
  <c r="BD14" i="66"/>
  <c r="BC19" i="66"/>
  <c r="Z12" i="67"/>
  <c r="BE18" i="66"/>
  <c r="BG18" i="66" s="1"/>
  <c r="BD18" i="66"/>
  <c r="BD15" i="66"/>
  <c r="U22" i="66"/>
  <c r="AO37" i="67"/>
  <c r="BD23" i="66"/>
  <c r="BC23" i="66"/>
  <c r="BG22" i="66"/>
  <c r="BD17" i="66"/>
  <c r="BE43" i="66"/>
  <c r="BG43" i="66" s="1"/>
  <c r="M37" i="67"/>
  <c r="AT16" i="67"/>
  <c r="AV16" i="67" s="1"/>
  <c r="AS23" i="67"/>
  <c r="BD34" i="66"/>
  <c r="BE34" i="66"/>
  <c r="BG34" i="66" s="1"/>
  <c r="I30" i="66"/>
  <c r="AR49" i="66"/>
  <c r="BD10" i="66"/>
  <c r="AO28" i="67"/>
  <c r="AO30" i="67" s="1"/>
  <c r="AR20" i="67"/>
  <c r="AT22" i="67"/>
  <c r="BE17" i="66"/>
  <c r="U17" i="66"/>
  <c r="AS19" i="67"/>
  <c r="BD22" i="66"/>
  <c r="Y48" i="67"/>
  <c r="AV36" i="67"/>
  <c r="AT34" i="67"/>
  <c r="Z34" i="67"/>
  <c r="C48" i="67"/>
  <c r="E48" i="67" s="1"/>
  <c r="G48" i="67"/>
  <c r="I48" i="67" s="1"/>
  <c r="I37" i="67"/>
  <c r="AT46" i="67"/>
  <c r="AT45" i="67"/>
  <c r="X47" i="67"/>
  <c r="Z47" i="67" s="1"/>
  <c r="AS12" i="67"/>
  <c r="Z11" i="67"/>
  <c r="AU11" i="67"/>
  <c r="G30" i="67"/>
  <c r="I28" i="67"/>
  <c r="AB49" i="67"/>
  <c r="AT21" i="67"/>
  <c r="Y28" i="67"/>
  <c r="Z36" i="67"/>
  <c r="AT41" i="67"/>
  <c r="Z41" i="67"/>
  <c r="E37" i="67"/>
  <c r="AF48" i="67"/>
  <c r="AF49" i="67" s="1"/>
  <c r="D49" i="67"/>
  <c r="E30" i="67"/>
  <c r="AQ28" i="67"/>
  <c r="AC48" i="67"/>
  <c r="AE48" i="67" s="1"/>
  <c r="AE37" i="67"/>
  <c r="Z16" i="67"/>
  <c r="AP47" i="67"/>
  <c r="AR47" i="67" s="1"/>
  <c r="AU37" i="67"/>
  <c r="Z24" i="67"/>
  <c r="AT24" i="67"/>
  <c r="AT15" i="67"/>
  <c r="Z15" i="67"/>
  <c r="AT13" i="67"/>
  <c r="AV12" i="67"/>
  <c r="V37" i="67"/>
  <c r="T48" i="67"/>
  <c r="V48" i="67" s="1"/>
  <c r="AT35" i="67"/>
  <c r="Z35" i="67"/>
  <c r="X37" i="67"/>
  <c r="AT33" i="67"/>
  <c r="AU46" i="67"/>
  <c r="Z46" i="67"/>
  <c r="AS33" i="67"/>
  <c r="W37" i="67"/>
  <c r="AT17" i="67"/>
  <c r="Z17" i="67"/>
  <c r="AD49" i="67"/>
  <c r="AE30" i="67"/>
  <c r="AR10" i="67"/>
  <c r="AP28" i="67"/>
  <c r="AP30" i="67" s="1"/>
  <c r="AI28" i="67"/>
  <c r="AH30" i="67"/>
  <c r="M28" i="67"/>
  <c r="X28" i="67"/>
  <c r="X30" i="67" s="1"/>
  <c r="Z10" i="67"/>
  <c r="AT10" i="67"/>
  <c r="AT18" i="67"/>
  <c r="AT29" i="67"/>
  <c r="Z29" i="67"/>
  <c r="W28" i="67"/>
  <c r="W30" i="67" s="1"/>
  <c r="AS10" i="67"/>
  <c r="AE28" i="67"/>
  <c r="AT14" i="67"/>
  <c r="Z14" i="67"/>
  <c r="L49" i="67"/>
  <c r="M30" i="67"/>
  <c r="T30" i="66"/>
  <c r="BB47" i="66"/>
  <c r="BC47" i="66" s="1"/>
  <c r="BC45" i="66"/>
  <c r="BB37" i="66"/>
  <c r="BC33" i="66"/>
  <c r="BE27" i="66"/>
  <c r="BG27" i="66" s="1"/>
  <c r="U27" i="66"/>
  <c r="BE25" i="66"/>
  <c r="BG25" i="66" s="1"/>
  <c r="U25" i="66"/>
  <c r="BE14" i="66"/>
  <c r="U14" i="66"/>
  <c r="AN48" i="66"/>
  <c r="AP48" i="66" s="1"/>
  <c r="AP37" i="66"/>
  <c r="D30" i="66"/>
  <c r="E28" i="66"/>
  <c r="U41" i="66"/>
  <c r="AJ37" i="66"/>
  <c r="AL37" i="66" s="1"/>
  <c r="AL41" i="66"/>
  <c r="BF41" i="66"/>
  <c r="BG41" i="66" s="1"/>
  <c r="AK48" i="66"/>
  <c r="AT30" i="66"/>
  <c r="AU28" i="66"/>
  <c r="R47" i="66"/>
  <c r="BD45" i="66"/>
  <c r="BD47" i="66" s="1"/>
  <c r="BF36" i="66"/>
  <c r="R37" i="66"/>
  <c r="BD33" i="66"/>
  <c r="AJ28" i="66"/>
  <c r="AJ30" i="66" s="1"/>
  <c r="BF29" i="66"/>
  <c r="BF15" i="66"/>
  <c r="BG15" i="66" s="1"/>
  <c r="BF17" i="66"/>
  <c r="BG17" i="66" s="1"/>
  <c r="BF12" i="66"/>
  <c r="BA28" i="66"/>
  <c r="BA30" i="66" s="1"/>
  <c r="AI48" i="66"/>
  <c r="U12" i="66"/>
  <c r="BE12" i="66"/>
  <c r="R28" i="66"/>
  <c r="R30" i="66" s="1"/>
  <c r="BE36" i="66"/>
  <c r="U36" i="66"/>
  <c r="X48" i="66"/>
  <c r="X49" i="66" s="1"/>
  <c r="Z37" i="66"/>
  <c r="AF48" i="66"/>
  <c r="AF49" i="66" s="1"/>
  <c r="AT48" i="66"/>
  <c r="AU37" i="66"/>
  <c r="K30" i="66"/>
  <c r="M28" i="66"/>
  <c r="S47" i="66"/>
  <c r="U47" i="66" s="1"/>
  <c r="U45" i="66"/>
  <c r="BE45" i="66"/>
  <c r="BE47" i="66" s="1"/>
  <c r="BF33" i="66"/>
  <c r="AW48" i="66"/>
  <c r="AY48" i="66" s="1"/>
  <c r="AY37" i="66"/>
  <c r="AZ28" i="66"/>
  <c r="AZ30" i="66" s="1"/>
  <c r="AZ49" i="66" s="1"/>
  <c r="D48" i="66"/>
  <c r="E37" i="66"/>
  <c r="BF14" i="66"/>
  <c r="U43" i="66"/>
  <c r="BF21" i="66"/>
  <c r="AJ47" i="66"/>
  <c r="AL47" i="66" s="1"/>
  <c r="BF45" i="66"/>
  <c r="AB48" i="66"/>
  <c r="AD48" i="66" s="1"/>
  <c r="T48" i="66"/>
  <c r="K48" i="66"/>
  <c r="M48" i="66" s="1"/>
  <c r="M37" i="66"/>
  <c r="AL45" i="66"/>
  <c r="BE39" i="66"/>
  <c r="BG39" i="66" s="1"/>
  <c r="S37" i="66"/>
  <c r="BE33" i="66"/>
  <c r="AN30" i="66"/>
  <c r="AP28" i="66"/>
  <c r="BB28" i="66"/>
  <c r="BF35" i="66"/>
  <c r="U35" i="66"/>
  <c r="AW30" i="66"/>
  <c r="AY28" i="66"/>
  <c r="AK30" i="66"/>
  <c r="S28" i="66"/>
  <c r="S30" i="66" s="1"/>
  <c r="BE10" i="66"/>
  <c r="Q49" i="66"/>
  <c r="BE20" i="66"/>
  <c r="BG20" i="66" s="1"/>
  <c r="BF13" i="66"/>
  <c r="BG13" i="66" s="1"/>
  <c r="BF23" i="66"/>
  <c r="U23" i="66"/>
  <c r="G13" i="43"/>
  <c r="E7" i="40"/>
  <c r="F7" i="40"/>
  <c r="D7" i="40"/>
  <c r="J81" i="39"/>
  <c r="AS47" i="67" l="1"/>
  <c r="BG35" i="66"/>
  <c r="BA48" i="66"/>
  <c r="BA49" i="66" s="1"/>
  <c r="W48" i="67"/>
  <c r="AU48" i="66"/>
  <c r="BG21" i="66"/>
  <c r="BG23" i="66"/>
  <c r="AI49" i="66"/>
  <c r="BG29" i="66"/>
  <c r="K49" i="67"/>
  <c r="M49" i="67" s="1"/>
  <c r="AI48" i="67"/>
  <c r="BD37" i="66"/>
  <c r="BD48" i="66" s="1"/>
  <c r="G49" i="66"/>
  <c r="I49" i="66" s="1"/>
  <c r="BD28" i="66"/>
  <c r="BD30" i="66" s="1"/>
  <c r="AO48" i="67"/>
  <c r="AO49" i="67" s="1"/>
  <c r="AP48" i="67"/>
  <c r="AR48" i="67" s="1"/>
  <c r="BG14" i="66"/>
  <c r="E48" i="66"/>
  <c r="C49" i="67"/>
  <c r="E49" i="67" s="1"/>
  <c r="BE37" i="66"/>
  <c r="BE48" i="66" s="1"/>
  <c r="AB49" i="66"/>
  <c r="AD49" i="66" s="1"/>
  <c r="S48" i="66"/>
  <c r="U48" i="66" s="1"/>
  <c r="Z48" i="66"/>
  <c r="AV22" i="67"/>
  <c r="BG36" i="66"/>
  <c r="BE28" i="66"/>
  <c r="BE30" i="66" s="1"/>
  <c r="Z49" i="66"/>
  <c r="W49" i="67"/>
  <c r="AV18" i="67"/>
  <c r="AT37" i="67"/>
  <c r="AV37" i="67" s="1"/>
  <c r="AV33" i="67"/>
  <c r="AV41" i="67"/>
  <c r="G49" i="67"/>
  <c r="I30" i="67"/>
  <c r="AT47" i="67"/>
  <c r="AV45" i="67"/>
  <c r="AT28" i="67"/>
  <c r="AH49" i="67"/>
  <c r="AI30" i="67"/>
  <c r="AS37" i="67"/>
  <c r="X48" i="67"/>
  <c r="X49" i="67" s="1"/>
  <c r="Z37" i="67"/>
  <c r="AV13" i="67"/>
  <c r="AV11" i="67"/>
  <c r="AU28" i="67"/>
  <c r="AC49" i="67"/>
  <c r="AV29" i="67"/>
  <c r="AR28" i="67"/>
  <c r="AQ30" i="67"/>
  <c r="Z28" i="67"/>
  <c r="Y30" i="67"/>
  <c r="AV10" i="67"/>
  <c r="T49" i="67"/>
  <c r="AS28" i="67"/>
  <c r="AV17" i="67"/>
  <c r="AV46" i="67"/>
  <c r="AU47" i="67"/>
  <c r="AV35" i="67"/>
  <c r="AV15" i="67"/>
  <c r="AV24" i="67"/>
  <c r="AV21" i="67"/>
  <c r="AV34" i="67"/>
  <c r="AV14" i="67"/>
  <c r="BF47" i="66"/>
  <c r="BG47" i="66" s="1"/>
  <c r="BG45" i="66"/>
  <c r="BF28" i="66"/>
  <c r="K49" i="66"/>
  <c r="M30" i="66"/>
  <c r="S49" i="66"/>
  <c r="AW49" i="66"/>
  <c r="AY30" i="66"/>
  <c r="R48" i="66"/>
  <c r="R49" i="66" s="1"/>
  <c r="AK49" i="66"/>
  <c r="AN49" i="66"/>
  <c r="AP30" i="66"/>
  <c r="BG12" i="66"/>
  <c r="AT49" i="66"/>
  <c r="AU30" i="66"/>
  <c r="T49" i="66"/>
  <c r="U30" i="66"/>
  <c r="BG10" i="66"/>
  <c r="BF37" i="66"/>
  <c r="BG33" i="66"/>
  <c r="AJ48" i="66"/>
  <c r="AL48" i="66" s="1"/>
  <c r="D49" i="66"/>
  <c r="E30" i="66"/>
  <c r="BC37" i="66"/>
  <c r="BB48" i="66"/>
  <c r="BC48" i="66" s="1"/>
  <c r="U28" i="66"/>
  <c r="BC28" i="66"/>
  <c r="BB30" i="66"/>
  <c r="U37" i="66"/>
  <c r="AP49" i="67" l="1"/>
  <c r="BD49" i="66"/>
  <c r="BE49" i="66"/>
  <c r="Z48" i="67"/>
  <c r="AE49" i="67"/>
  <c r="I49" i="67"/>
  <c r="AV47" i="67"/>
  <c r="AS30" i="67"/>
  <c r="AR30" i="67"/>
  <c r="AQ49" i="67"/>
  <c r="AU48" i="67"/>
  <c r="AI49" i="67"/>
  <c r="V49" i="67"/>
  <c r="AT30" i="67"/>
  <c r="Y49" i="67"/>
  <c r="Z30" i="67"/>
  <c r="AU30" i="67"/>
  <c r="AV28" i="67"/>
  <c r="AS48" i="67"/>
  <c r="AT48" i="67"/>
  <c r="BB49" i="66"/>
  <c r="BC30" i="66"/>
  <c r="M49" i="66"/>
  <c r="AJ49" i="66"/>
  <c r="AU49" i="66"/>
  <c r="AP49" i="66"/>
  <c r="BF30" i="66"/>
  <c r="BG28" i="66"/>
  <c r="E49" i="66"/>
  <c r="BF48" i="66"/>
  <c r="BG48" i="66" s="1"/>
  <c r="BG37" i="66"/>
  <c r="U49" i="66"/>
  <c r="AY49" i="66"/>
  <c r="G114" i="56"/>
  <c r="G40" i="56"/>
  <c r="G113" i="56"/>
  <c r="G39" i="56"/>
  <c r="G59" i="56" s="1"/>
  <c r="D80" i="54"/>
  <c r="C80" i="54"/>
  <c r="AL49" i="66" l="1"/>
  <c r="AV30" i="67"/>
  <c r="AU49" i="67"/>
  <c r="AV48" i="67"/>
  <c r="AS49" i="67"/>
  <c r="Z49" i="67"/>
  <c r="AR49" i="67"/>
  <c r="AT49" i="67"/>
  <c r="BF49" i="66"/>
  <c r="BG30" i="66"/>
  <c r="BC49" i="66"/>
  <c r="F114" i="56"/>
  <c r="F113" i="56"/>
  <c r="F35" i="56"/>
  <c r="F27" i="56"/>
  <c r="E226" i="58"/>
  <c r="C226" i="58"/>
  <c r="AV49" i="67" l="1"/>
  <c r="BG49" i="66"/>
  <c r="I10" i="65"/>
  <c r="H24" i="65"/>
  <c r="H23" i="65"/>
  <c r="H19" i="65"/>
  <c r="H18" i="65"/>
  <c r="K18" i="65" s="1"/>
  <c r="H14" i="65"/>
  <c r="H12" i="65"/>
  <c r="K12" i="65" s="1"/>
  <c r="F23" i="65"/>
  <c r="F18" i="65"/>
  <c r="F17" i="65"/>
  <c r="F14" i="65"/>
  <c r="F12" i="65"/>
  <c r="F11" i="65"/>
  <c r="F10" i="65"/>
  <c r="J32" i="65"/>
  <c r="I32" i="65"/>
  <c r="H32" i="65"/>
  <c r="K31" i="65"/>
  <c r="K30" i="65"/>
  <c r="K29" i="65"/>
  <c r="J28" i="65"/>
  <c r="I28" i="65"/>
  <c r="K27" i="65"/>
  <c r="K26" i="65"/>
  <c r="K25" i="65"/>
  <c r="K24" i="65"/>
  <c r="K23" i="65"/>
  <c r="K22" i="65"/>
  <c r="K21" i="65"/>
  <c r="K20" i="65"/>
  <c r="K19" i="65"/>
  <c r="J16" i="65"/>
  <c r="K15" i="65"/>
  <c r="K14" i="65"/>
  <c r="K13" i="65"/>
  <c r="K11" i="65"/>
  <c r="I16" i="65"/>
  <c r="J19" i="64"/>
  <c r="E19" i="64"/>
  <c r="I17" i="64"/>
  <c r="H17" i="64"/>
  <c r="D17" i="64"/>
  <c r="C17" i="64"/>
  <c r="J16" i="64"/>
  <c r="E16" i="64"/>
  <c r="J15" i="64"/>
  <c r="E15" i="64"/>
  <c r="J14" i="64"/>
  <c r="E14" i="64"/>
  <c r="H13" i="64"/>
  <c r="D13" i="64"/>
  <c r="C13" i="64"/>
  <c r="J12" i="64"/>
  <c r="J11" i="64"/>
  <c r="E11" i="64"/>
  <c r="J10" i="64"/>
  <c r="E10" i="64"/>
  <c r="I13" i="64"/>
  <c r="E9" i="64"/>
  <c r="J8" i="64"/>
  <c r="E8" i="64"/>
  <c r="D17" i="63"/>
  <c r="C17" i="63"/>
  <c r="E17" i="63" s="1"/>
  <c r="E16" i="63"/>
  <c r="E15" i="63"/>
  <c r="E14" i="63"/>
  <c r="E13" i="63"/>
  <c r="E12" i="63"/>
  <c r="E11" i="63"/>
  <c r="E10" i="63"/>
  <c r="E9" i="63"/>
  <c r="E8" i="63"/>
  <c r="G89" i="61"/>
  <c r="G88" i="61"/>
  <c r="G87" i="61"/>
  <c r="G86" i="61"/>
  <c r="F85" i="61"/>
  <c r="E85" i="61"/>
  <c r="G76" i="61"/>
  <c r="G75" i="61"/>
  <c r="G74" i="61"/>
  <c r="F73" i="61"/>
  <c r="E73" i="61"/>
  <c r="G71" i="61"/>
  <c r="G70" i="61"/>
  <c r="G69" i="61"/>
  <c r="G68" i="61"/>
  <c r="F67" i="61"/>
  <c r="E67" i="61"/>
  <c r="G59" i="61"/>
  <c r="G55" i="61"/>
  <c r="G54" i="61"/>
  <c r="G53" i="61" s="1"/>
  <c r="F53" i="61"/>
  <c r="E53" i="61"/>
  <c r="G49" i="61"/>
  <c r="G48" i="61"/>
  <c r="G47" i="61"/>
  <c r="G46" i="61"/>
  <c r="F45" i="61"/>
  <c r="E45" i="61"/>
  <c r="G44" i="61"/>
  <c r="G42" i="61"/>
  <c r="G40" i="61" s="1"/>
  <c r="F40" i="61"/>
  <c r="G41" i="61"/>
  <c r="E40" i="61"/>
  <c r="G39" i="61"/>
  <c r="G38" i="61"/>
  <c r="G37" i="61"/>
  <c r="E36" i="61"/>
  <c r="G35" i="61"/>
  <c r="G34" i="61"/>
  <c r="G33" i="61"/>
  <c r="G32" i="61"/>
  <c r="G31" i="61"/>
  <c r="G30" i="61"/>
  <c r="G29" i="61"/>
  <c r="F27" i="61"/>
  <c r="G26" i="61"/>
  <c r="E20" i="61"/>
  <c r="G24" i="61"/>
  <c r="G23" i="61"/>
  <c r="G21" i="61"/>
  <c r="G17" i="61"/>
  <c r="G16" i="61"/>
  <c r="F15" i="61"/>
  <c r="E15" i="61"/>
  <c r="G14" i="61"/>
  <c r="F11" i="61"/>
  <c r="E11" i="61"/>
  <c r="F13" i="59"/>
  <c r="F11" i="59"/>
  <c r="E220" i="58"/>
  <c r="C220" i="58"/>
  <c r="E214" i="58"/>
  <c r="C214" i="58"/>
  <c r="E208" i="58"/>
  <c r="C208" i="58"/>
  <c r="E202" i="58"/>
  <c r="C202" i="58"/>
  <c r="E195" i="58"/>
  <c r="C195" i="58"/>
  <c r="E188" i="58"/>
  <c r="C188" i="58"/>
  <c r="E181" i="58"/>
  <c r="C181" i="58"/>
  <c r="E173" i="58"/>
  <c r="C173" i="58"/>
  <c r="E165" i="58"/>
  <c r="C165" i="58"/>
  <c r="E159" i="58"/>
  <c r="C159" i="58"/>
  <c r="E153" i="58"/>
  <c r="C153" i="58"/>
  <c r="E147" i="58"/>
  <c r="C147" i="58"/>
  <c r="C141" i="58"/>
  <c r="E140" i="58"/>
  <c r="E141" i="58" s="1"/>
  <c r="C134" i="58"/>
  <c r="E133" i="58"/>
  <c r="E134" i="58" s="1"/>
  <c r="C128" i="58"/>
  <c r="E127" i="58"/>
  <c r="E128" i="58" s="1"/>
  <c r="C121" i="58"/>
  <c r="E118" i="58"/>
  <c r="E121" i="58" s="1"/>
  <c r="C114" i="58"/>
  <c r="E113" i="58"/>
  <c r="E111" i="58"/>
  <c r="E106" i="58"/>
  <c r="C106" i="58"/>
  <c r="E98" i="58"/>
  <c r="C98" i="58"/>
  <c r="E88" i="58"/>
  <c r="E91" i="58" s="1"/>
  <c r="C86" i="58"/>
  <c r="C91" i="58" s="1"/>
  <c r="E84" i="58"/>
  <c r="C84" i="58"/>
  <c r="C77" i="58"/>
  <c r="E74" i="58"/>
  <c r="E77" i="58" s="1"/>
  <c r="C70" i="58"/>
  <c r="E69" i="58"/>
  <c r="E66" i="58"/>
  <c r="E65" i="58"/>
  <c r="C65" i="58"/>
  <c r="C57" i="58"/>
  <c r="E54" i="58"/>
  <c r="E57" i="58" s="1"/>
  <c r="C48" i="58"/>
  <c r="E45" i="58"/>
  <c r="E43" i="58"/>
  <c r="E42" i="58"/>
  <c r="E41" i="58"/>
  <c r="C34" i="58"/>
  <c r="E28" i="58"/>
  <c r="E34" i="58" s="1"/>
  <c r="E17" i="58"/>
  <c r="C17" i="58"/>
  <c r="G71" i="57"/>
  <c r="F71" i="57"/>
  <c r="G70" i="57"/>
  <c r="F70" i="57"/>
  <c r="G68" i="57"/>
  <c r="F68" i="57"/>
  <c r="G64" i="57"/>
  <c r="F64" i="57"/>
  <c r="G60" i="57"/>
  <c r="F60" i="57"/>
  <c r="G56" i="57"/>
  <c r="F56" i="57"/>
  <c r="G50" i="57"/>
  <c r="F50" i="57"/>
  <c r="G49" i="57"/>
  <c r="F49" i="57"/>
  <c r="F51" i="57" s="1"/>
  <c r="G47" i="57"/>
  <c r="F47" i="57"/>
  <c r="G43" i="57"/>
  <c r="F43" i="57"/>
  <c r="G39" i="57"/>
  <c r="F39" i="57"/>
  <c r="G34" i="57"/>
  <c r="G33" i="57"/>
  <c r="F33" i="57"/>
  <c r="G31" i="57"/>
  <c r="F31" i="57"/>
  <c r="G27" i="57"/>
  <c r="F27" i="57"/>
  <c r="G23" i="57"/>
  <c r="F34" i="57"/>
  <c r="G19" i="57"/>
  <c r="F19" i="57"/>
  <c r="G15" i="57"/>
  <c r="F15" i="57"/>
  <c r="G11" i="57"/>
  <c r="F11" i="57"/>
  <c r="G134" i="56"/>
  <c r="F134" i="56"/>
  <c r="G133" i="56"/>
  <c r="F133" i="56"/>
  <c r="G131" i="56"/>
  <c r="F131" i="56"/>
  <c r="G127" i="56"/>
  <c r="F127" i="56"/>
  <c r="G123" i="56"/>
  <c r="F123" i="56"/>
  <c r="G119" i="56"/>
  <c r="F119" i="56"/>
  <c r="G115" i="56"/>
  <c r="G111" i="56"/>
  <c r="F111" i="56"/>
  <c r="G107" i="56"/>
  <c r="F107" i="56"/>
  <c r="G103" i="56"/>
  <c r="F103" i="56"/>
  <c r="G98" i="56"/>
  <c r="F98" i="56"/>
  <c r="G97" i="56"/>
  <c r="G94" i="56"/>
  <c r="F94" i="56"/>
  <c r="G90" i="56"/>
  <c r="F97" i="56"/>
  <c r="F99" i="56" s="1"/>
  <c r="G86" i="56"/>
  <c r="F86" i="56"/>
  <c r="G82" i="56"/>
  <c r="F82" i="56"/>
  <c r="G72" i="56"/>
  <c r="F72" i="56"/>
  <c r="G71" i="56"/>
  <c r="F71" i="56"/>
  <c r="G69" i="56"/>
  <c r="F69" i="56"/>
  <c r="G65" i="56"/>
  <c r="F65" i="56"/>
  <c r="G57" i="56"/>
  <c r="F57" i="56"/>
  <c r="G52" i="56"/>
  <c r="F52" i="56"/>
  <c r="G51" i="56"/>
  <c r="F51" i="56"/>
  <c r="G49" i="56"/>
  <c r="F49" i="56"/>
  <c r="G45" i="56"/>
  <c r="F45" i="56"/>
  <c r="G41" i="56"/>
  <c r="F37" i="56"/>
  <c r="G37" i="56"/>
  <c r="G33" i="56"/>
  <c r="F33" i="56"/>
  <c r="F29" i="56"/>
  <c r="G29" i="56"/>
  <c r="G25" i="56"/>
  <c r="G20" i="56"/>
  <c r="F20" i="56"/>
  <c r="G19" i="56"/>
  <c r="F19" i="56"/>
  <c r="F21" i="56" s="1"/>
  <c r="G17" i="56"/>
  <c r="F17" i="56"/>
  <c r="G13" i="56"/>
  <c r="F13" i="56"/>
  <c r="H19" i="55"/>
  <c r="G19" i="55"/>
  <c r="F19" i="55"/>
  <c r="E19" i="55"/>
  <c r="D19" i="55"/>
  <c r="H16" i="55"/>
  <c r="G16" i="55"/>
  <c r="F16" i="55"/>
  <c r="E16" i="55"/>
  <c r="D16" i="55"/>
  <c r="H13" i="55"/>
  <c r="G13" i="55"/>
  <c r="F13" i="55"/>
  <c r="E13" i="55"/>
  <c r="D13" i="55"/>
  <c r="H10" i="55"/>
  <c r="G10" i="55"/>
  <c r="F10" i="55"/>
  <c r="E10" i="55"/>
  <c r="D10" i="55"/>
  <c r="C19" i="54"/>
  <c r="C16" i="53"/>
  <c r="E70" i="58" l="1"/>
  <c r="E48" i="58"/>
  <c r="E114" i="58"/>
  <c r="F10" i="61"/>
  <c r="G73" i="61"/>
  <c r="G85" i="61"/>
  <c r="G67" i="61"/>
  <c r="G45" i="61"/>
  <c r="G36" i="61"/>
  <c r="G15" i="61"/>
  <c r="G10" i="61" s="1"/>
  <c r="E10" i="61"/>
  <c r="G11" i="61"/>
  <c r="C18" i="64"/>
  <c r="C20" i="64" s="1"/>
  <c r="G135" i="56"/>
  <c r="G53" i="56"/>
  <c r="G60" i="56"/>
  <c r="G61" i="56" s="1"/>
  <c r="D20" i="55"/>
  <c r="H20" i="55"/>
  <c r="G20" i="55"/>
  <c r="F20" i="55"/>
  <c r="E20" i="55"/>
  <c r="F74" i="57"/>
  <c r="F75" i="57"/>
  <c r="G75" i="57"/>
  <c r="G51" i="57"/>
  <c r="F72" i="57"/>
  <c r="G72" i="57"/>
  <c r="G35" i="57"/>
  <c r="F135" i="56"/>
  <c r="F115" i="56"/>
  <c r="G99" i="56"/>
  <c r="G138" i="56"/>
  <c r="G73" i="56"/>
  <c r="F73" i="56"/>
  <c r="F53" i="56"/>
  <c r="F41" i="56"/>
  <c r="F60" i="56"/>
  <c r="F138" i="56" s="1"/>
  <c r="F34" i="58"/>
  <c r="F17" i="58"/>
  <c r="K10" i="65"/>
  <c r="K16" i="65" s="1"/>
  <c r="H28" i="65"/>
  <c r="I33" i="65"/>
  <c r="J33" i="65"/>
  <c r="K32" i="65"/>
  <c r="K17" i="65"/>
  <c r="K28" i="65" s="1"/>
  <c r="H16" i="65"/>
  <c r="J17" i="64"/>
  <c r="H18" i="64"/>
  <c r="H20" i="64" s="1"/>
  <c r="D18" i="64"/>
  <c r="D20" i="64" s="1"/>
  <c r="E17" i="64"/>
  <c r="I18" i="64"/>
  <c r="I20" i="64" s="1"/>
  <c r="J9" i="64"/>
  <c r="E13" i="64"/>
  <c r="G137" i="56"/>
  <c r="G27" i="61"/>
  <c r="F48" i="58"/>
  <c r="F57" i="58" s="1"/>
  <c r="F65" i="58" s="1"/>
  <c r="F70" i="58" s="1"/>
  <c r="F77" i="58" s="1"/>
  <c r="F84" i="58" s="1"/>
  <c r="F91" i="58" s="1"/>
  <c r="F98" i="58" s="1"/>
  <c r="F106" i="58" s="1"/>
  <c r="F114" i="58" s="1"/>
  <c r="F121" i="58" s="1"/>
  <c r="F128" i="58" s="1"/>
  <c r="F134" i="58" s="1"/>
  <c r="F141" i="58" s="1"/>
  <c r="F147" i="58" s="1"/>
  <c r="F153" i="58" s="1"/>
  <c r="F159" i="58" s="1"/>
  <c r="F165" i="58" s="1"/>
  <c r="F173" i="58" s="1"/>
  <c r="F181" i="58" s="1"/>
  <c r="F188" i="58" s="1"/>
  <c r="F195" i="58" s="1"/>
  <c r="F202" i="58" s="1"/>
  <c r="F208" i="58" s="1"/>
  <c r="F214" i="58" s="1"/>
  <c r="F220" i="58" s="1"/>
  <c r="F226" i="58" s="1"/>
  <c r="F59" i="56"/>
  <c r="G21" i="56"/>
  <c r="F23" i="57"/>
  <c r="G74" i="57"/>
  <c r="F17" i="59"/>
  <c r="F20" i="61"/>
  <c r="E27" i="61"/>
  <c r="E19" i="61" s="1"/>
  <c r="E18" i="61" s="1"/>
  <c r="F25" i="56"/>
  <c r="F90" i="56"/>
  <c r="F35" i="57"/>
  <c r="G25" i="61"/>
  <c r="G20" i="61" s="1"/>
  <c r="F36" i="61"/>
  <c r="E20" i="64" l="1"/>
  <c r="F19" i="61"/>
  <c r="F18" i="61" s="1"/>
  <c r="F9" i="61" s="1"/>
  <c r="G19" i="61"/>
  <c r="F76" i="57"/>
  <c r="G76" i="57"/>
  <c r="G139" i="56"/>
  <c r="H33" i="65"/>
  <c r="K33" i="65"/>
  <c r="J13" i="64"/>
  <c r="E18" i="64"/>
  <c r="E9" i="61"/>
  <c r="F137" i="56"/>
  <c r="F139" i="56" s="1"/>
  <c r="F61" i="56"/>
  <c r="F18" i="59"/>
  <c r="G18" i="61" l="1"/>
  <c r="J18" i="64"/>
  <c r="G18" i="59"/>
  <c r="G16" i="59"/>
  <c r="G13" i="59"/>
  <c r="G12" i="59"/>
  <c r="G10" i="59"/>
  <c r="G14" i="59"/>
  <c r="G11" i="59"/>
  <c r="G15" i="59"/>
  <c r="G17" i="59"/>
  <c r="G9" i="61" l="1"/>
  <c r="J20" i="64"/>
  <c r="C9" i="52" s="1"/>
  <c r="G20" i="40" l="1"/>
  <c r="E18" i="14"/>
  <c r="E96" i="14"/>
  <c r="I72" i="39" l="1"/>
  <c r="G44" i="43"/>
  <c r="G45" i="43"/>
  <c r="G46" i="43"/>
  <c r="G47" i="43"/>
  <c r="G48" i="43"/>
  <c r="G49" i="43"/>
  <c r="G50" i="43"/>
  <c r="G52" i="43"/>
  <c r="G120" i="43"/>
  <c r="G87" i="43"/>
  <c r="G88" i="43"/>
  <c r="G89" i="43"/>
  <c r="G90" i="43"/>
  <c r="G91" i="43"/>
  <c r="G92" i="43"/>
  <c r="G85" i="43"/>
  <c r="E14" i="43"/>
  <c r="E38" i="14" l="1"/>
  <c r="E85" i="14" s="1"/>
  <c r="F40" i="36"/>
  <c r="E35" i="11"/>
  <c r="G116" i="43" l="1"/>
  <c r="E13" i="36" l="1"/>
  <c r="E78" i="36"/>
  <c r="D78" i="36"/>
  <c r="C78" i="36"/>
  <c r="D13" i="36"/>
  <c r="C13" i="36"/>
  <c r="F9" i="36"/>
  <c r="J107" i="39"/>
  <c r="G30" i="43"/>
  <c r="J28" i="39"/>
  <c r="F14" i="43"/>
  <c r="E125" i="43"/>
  <c r="G62" i="43"/>
  <c r="G42" i="43"/>
  <c r="F28" i="25"/>
  <c r="F93" i="14"/>
  <c r="F65" i="14"/>
  <c r="F66" i="14"/>
  <c r="F41" i="14"/>
  <c r="F15" i="11"/>
  <c r="F16" i="11"/>
  <c r="F17" i="11"/>
  <c r="F18" i="11"/>
  <c r="F19" i="11"/>
  <c r="J96" i="39"/>
  <c r="J97" i="39"/>
  <c r="J86" i="39"/>
  <c r="F125" i="43" l="1"/>
  <c r="D27" i="43"/>
  <c r="E27" i="43"/>
  <c r="D17" i="43"/>
  <c r="E17" i="43"/>
  <c r="F17" i="43"/>
  <c r="D14" i="43"/>
  <c r="D125" i="43"/>
  <c r="C23" i="22"/>
  <c r="D23" i="22"/>
  <c r="E23" i="22"/>
  <c r="I12" i="39"/>
  <c r="F21" i="40" l="1"/>
  <c r="E21" i="40"/>
  <c r="F9" i="9" l="1"/>
  <c r="F22" i="22"/>
  <c r="F43" i="14"/>
  <c r="F17" i="14" l="1"/>
  <c r="C29" i="25" l="1"/>
  <c r="D29" i="25"/>
  <c r="E29" i="25"/>
  <c r="F21" i="11" l="1"/>
  <c r="F14" i="14"/>
  <c r="J103" i="39"/>
  <c r="J105" i="39"/>
  <c r="J106" i="39"/>
  <c r="J24" i="24"/>
  <c r="J25" i="24"/>
  <c r="G16" i="9" l="1"/>
  <c r="F27" i="14" l="1"/>
  <c r="F28" i="14"/>
  <c r="F32" i="14" l="1"/>
  <c r="F46" i="14"/>
  <c r="G124" i="43" l="1"/>
  <c r="G72" i="43"/>
  <c r="G40" i="43"/>
  <c r="G41" i="43"/>
  <c r="G38" i="43"/>
  <c r="G37" i="43"/>
  <c r="G11" i="43" l="1"/>
  <c r="G11" i="40" l="1"/>
  <c r="E65" i="36"/>
  <c r="C65" i="36"/>
  <c r="D65" i="36"/>
  <c r="H29" i="39"/>
  <c r="I29" i="39"/>
  <c r="G29" i="39"/>
  <c r="J27" i="39"/>
  <c r="M20" i="41"/>
  <c r="M19" i="41"/>
  <c r="F106" i="14" l="1"/>
  <c r="J63" i="39" l="1"/>
  <c r="J80" i="39" l="1"/>
  <c r="G123" i="43" l="1"/>
  <c r="F30" i="11"/>
  <c r="F74" i="14" l="1"/>
  <c r="G77" i="43" l="1"/>
  <c r="J90" i="39"/>
  <c r="J64" i="39"/>
  <c r="J74" i="39"/>
  <c r="J75" i="39"/>
  <c r="J76" i="39"/>
  <c r="J77" i="39"/>
  <c r="J78" i="39"/>
  <c r="J79" i="39"/>
  <c r="F55" i="36" l="1"/>
  <c r="F12" i="22"/>
  <c r="F17" i="22"/>
  <c r="F20" i="22"/>
  <c r="F77" i="14" l="1"/>
  <c r="F79" i="14"/>
  <c r="F80" i="14"/>
  <c r="F81" i="14"/>
  <c r="F82" i="14"/>
  <c r="F61" i="14"/>
  <c r="F62" i="14"/>
  <c r="F50" i="14"/>
  <c r="F44" i="14"/>
  <c r="F33" i="14"/>
  <c r="F34" i="14"/>
  <c r="F35" i="14"/>
  <c r="F36" i="14"/>
  <c r="J95" i="39" l="1"/>
  <c r="G101" i="43" l="1"/>
  <c r="G65" i="43"/>
  <c r="G35" i="43"/>
  <c r="G68" i="43"/>
  <c r="G69" i="43"/>
  <c r="G70" i="43"/>
  <c r="G71" i="43"/>
  <c r="G10" i="43"/>
  <c r="C105" i="14"/>
  <c r="C107" i="14" s="1"/>
  <c r="E107" i="14" l="1"/>
  <c r="D107" i="14"/>
  <c r="F105" i="14"/>
  <c r="E10" i="14"/>
  <c r="C8" i="14"/>
  <c r="C10" i="14" s="1"/>
  <c r="F46" i="36"/>
  <c r="F44" i="36"/>
  <c r="D47" i="36"/>
  <c r="E47" i="36"/>
  <c r="C47" i="36"/>
  <c r="C39" i="36"/>
  <c r="C41" i="36" s="1"/>
  <c r="E39" i="36"/>
  <c r="E41" i="36" s="1"/>
  <c r="D39" i="36"/>
  <c r="F38" i="36"/>
  <c r="E28" i="9"/>
  <c r="F28" i="9"/>
  <c r="G12" i="9"/>
  <c r="G27" i="9"/>
  <c r="D28" i="9"/>
  <c r="G122" i="39"/>
  <c r="J24" i="39"/>
  <c r="J23" i="39"/>
  <c r="J22" i="39"/>
  <c r="H25" i="39"/>
  <c r="I25" i="39"/>
  <c r="G25" i="39"/>
  <c r="D41" i="36" l="1"/>
  <c r="F39" i="36"/>
  <c r="J25" i="39"/>
  <c r="F8" i="14"/>
  <c r="D10" i="14"/>
  <c r="D35" i="11" l="1"/>
  <c r="C35" i="11"/>
  <c r="E58" i="36"/>
  <c r="C58" i="36"/>
  <c r="G118" i="43"/>
  <c r="J104" i="39" l="1"/>
  <c r="G25" i="43" l="1"/>
  <c r="G39" i="43" l="1"/>
  <c r="E9" i="40"/>
  <c r="F9" i="40"/>
  <c r="D9" i="40"/>
  <c r="F27" i="25"/>
  <c r="F34" i="11"/>
  <c r="F57" i="36"/>
  <c r="D58" i="36"/>
  <c r="G57" i="39"/>
  <c r="H57" i="39"/>
  <c r="G53" i="41" l="1"/>
  <c r="F26" i="14" l="1"/>
  <c r="D33" i="40" l="1"/>
  <c r="E33" i="40"/>
  <c r="F33" i="40"/>
  <c r="G32" i="40"/>
  <c r="G9" i="43" l="1"/>
  <c r="G114" i="43" l="1"/>
  <c r="G122" i="43"/>
  <c r="G43" i="43"/>
  <c r="G61" i="43"/>
  <c r="G60" i="43"/>
  <c r="G59" i="43"/>
  <c r="G8" i="43" l="1"/>
  <c r="E22" i="40"/>
  <c r="D21" i="40"/>
  <c r="D22" i="40" s="1"/>
  <c r="J12" i="24"/>
  <c r="F10" i="22"/>
  <c r="F56" i="36"/>
  <c r="H109" i="39"/>
  <c r="J19" i="39"/>
  <c r="F94" i="14" l="1"/>
  <c r="G7" i="43"/>
  <c r="F21" i="22" l="1"/>
  <c r="J40" i="39" l="1"/>
  <c r="J101" i="39"/>
  <c r="J102" i="39"/>
  <c r="D26" i="40" l="1"/>
  <c r="E26" i="40"/>
  <c r="F26" i="40"/>
  <c r="F15" i="22" l="1"/>
  <c r="I32" i="39" l="1"/>
  <c r="H32" i="39"/>
  <c r="G32" i="39"/>
  <c r="I15" i="39"/>
  <c r="H12" i="39"/>
  <c r="H15" i="39" s="1"/>
  <c r="G12" i="39"/>
  <c r="G15" i="39" s="1"/>
  <c r="I91" i="39" l="1"/>
  <c r="I57" i="39"/>
  <c r="J108" i="39"/>
  <c r="I109" i="39"/>
  <c r="G96" i="43" l="1"/>
  <c r="G97" i="43"/>
  <c r="J11" i="39" l="1"/>
  <c r="G112" i="43" l="1"/>
  <c r="G110" i="43"/>
  <c r="G78" i="43" l="1"/>
  <c r="G79" i="43"/>
  <c r="G80" i="43"/>
  <c r="G81" i="43"/>
  <c r="G82" i="43"/>
  <c r="G83" i="43"/>
  <c r="G84" i="43"/>
  <c r="G86" i="43"/>
  <c r="G93" i="43"/>
  <c r="G94" i="43"/>
  <c r="G95" i="43"/>
  <c r="G19" i="40"/>
  <c r="J17" i="39" l="1"/>
  <c r="J13" i="39"/>
  <c r="J14" i="39"/>
  <c r="J12" i="39" l="1"/>
  <c r="G55" i="43" l="1"/>
  <c r="F19" i="22"/>
  <c r="F64" i="14"/>
  <c r="G55" i="41"/>
  <c r="G36" i="43" l="1"/>
  <c r="F54" i="36" l="1"/>
  <c r="H20" i="24" l="1"/>
  <c r="I20" i="24"/>
  <c r="I27" i="24" s="1"/>
  <c r="G20" i="24"/>
  <c r="G27" i="24" s="1"/>
  <c r="E128" i="43"/>
  <c r="F128" i="43"/>
  <c r="D128" i="43"/>
  <c r="D96" i="14"/>
  <c r="C96" i="14"/>
  <c r="H27" i="24" l="1"/>
  <c r="G13" i="9" l="1"/>
  <c r="J66" i="39" l="1"/>
  <c r="G64" i="43" l="1"/>
  <c r="G111" i="43" l="1"/>
  <c r="J37" i="39" l="1"/>
  <c r="J67" i="39" l="1"/>
  <c r="J68" i="39" l="1"/>
  <c r="G119" i="43"/>
  <c r="G115" i="43"/>
  <c r="F92" i="14"/>
  <c r="G18" i="40"/>
  <c r="F52" i="14"/>
  <c r="J23" i="24"/>
  <c r="J39" i="39" l="1"/>
  <c r="J38" i="39"/>
  <c r="D85" i="14" l="1"/>
  <c r="F56" i="14"/>
  <c r="D21" i="12" l="1"/>
  <c r="D16" i="36"/>
  <c r="C16" i="36"/>
  <c r="F15" i="36"/>
  <c r="E21" i="12" l="1"/>
  <c r="G117" i="43" l="1"/>
  <c r="F19" i="12" l="1"/>
  <c r="J19" i="24"/>
  <c r="G121" i="43" l="1"/>
  <c r="F91" i="14" l="1"/>
  <c r="G34" i="43"/>
  <c r="F69" i="14"/>
  <c r="F25" i="11"/>
  <c r="E48" i="36" l="1"/>
  <c r="G24" i="43" l="1"/>
  <c r="F11" i="22" l="1"/>
  <c r="F13" i="22"/>
  <c r="F14" i="22"/>
  <c r="F16" i="22"/>
  <c r="F18" i="22"/>
  <c r="F49" i="14"/>
  <c r="F76" i="14"/>
  <c r="C21" i="12"/>
  <c r="F21" i="12" l="1"/>
  <c r="D48" i="36"/>
  <c r="F37" i="36"/>
  <c r="M23" i="41" l="1"/>
  <c r="G58" i="43" l="1"/>
  <c r="E36" i="11" l="1"/>
  <c r="C36" i="11"/>
  <c r="D36" i="11" l="1"/>
  <c r="F33" i="11" l="1"/>
  <c r="F8" i="22" l="1"/>
  <c r="C23" i="13" l="1"/>
  <c r="C30" i="12"/>
  <c r="G113" i="43" l="1"/>
  <c r="J59" i="39" l="1"/>
  <c r="G109" i="43" l="1"/>
  <c r="F37" i="9"/>
  <c r="G25" i="40"/>
  <c r="J89" i="39"/>
  <c r="J34" i="39" l="1"/>
  <c r="F9" i="14" l="1"/>
  <c r="G36" i="9"/>
  <c r="G35" i="9"/>
  <c r="G8" i="9"/>
  <c r="G7" i="9"/>
  <c r="F12" i="36"/>
  <c r="F11" i="36"/>
  <c r="F10" i="36"/>
  <c r="C85" i="14" l="1"/>
  <c r="F20" i="14" l="1"/>
  <c r="E97" i="14" l="1"/>
  <c r="F35" i="36" l="1"/>
  <c r="F36" i="36"/>
  <c r="F34" i="36"/>
  <c r="F26" i="36"/>
  <c r="G17" i="40" l="1"/>
  <c r="G16" i="40"/>
  <c r="F32" i="11"/>
  <c r="F37" i="14" l="1"/>
  <c r="F13" i="12"/>
  <c r="F14" i="12"/>
  <c r="F15" i="12"/>
  <c r="F17" i="12"/>
  <c r="F18" i="12"/>
  <c r="I43" i="39" l="1"/>
  <c r="E16" i="36" l="1"/>
  <c r="F23" i="11"/>
  <c r="J7" i="24" l="1"/>
  <c r="J18" i="24"/>
  <c r="G53" i="43"/>
  <c r="G54" i="43"/>
  <c r="G56" i="43"/>
  <c r="G75" i="43"/>
  <c r="G76" i="43"/>
  <c r="G99" i="43"/>
  <c r="G102" i="43"/>
  <c r="G103" i="43"/>
  <c r="G104" i="43"/>
  <c r="G105" i="43"/>
  <c r="G106" i="43"/>
  <c r="G107" i="43"/>
  <c r="G108" i="43"/>
  <c r="G31" i="43"/>
  <c r="G32" i="43"/>
  <c r="G109" i="39" l="1"/>
  <c r="H91" i="39" l="1"/>
  <c r="G23" i="43" l="1"/>
  <c r="G25" i="9" l="1"/>
  <c r="F29" i="9" l="1"/>
  <c r="F39" i="9" l="1"/>
  <c r="F29" i="11" l="1"/>
  <c r="J15" i="39" l="1"/>
  <c r="F13" i="13" l="1"/>
  <c r="F31" i="11" l="1"/>
  <c r="K44" i="41" l="1"/>
  <c r="L44" i="41"/>
  <c r="J44" i="41"/>
  <c r="G129" i="43" l="1"/>
  <c r="L43" i="41"/>
  <c r="K43" i="41"/>
  <c r="J43" i="41"/>
  <c r="F27" i="43"/>
  <c r="J41" i="41"/>
  <c r="G26" i="43"/>
  <c r="G22" i="43"/>
  <c r="F20" i="43"/>
  <c r="E20" i="43"/>
  <c r="D20" i="43"/>
  <c r="J40" i="41" s="1"/>
  <c r="G19" i="43"/>
  <c r="L39" i="41"/>
  <c r="K39" i="41"/>
  <c r="J39" i="41"/>
  <c r="L38" i="41"/>
  <c r="K38" i="41"/>
  <c r="J38" i="41"/>
  <c r="F130" i="43" l="1"/>
  <c r="L41" i="41"/>
  <c r="K40" i="41"/>
  <c r="K41" i="41"/>
  <c r="E130" i="43"/>
  <c r="L40" i="41"/>
  <c r="K42" i="41"/>
  <c r="L42" i="41"/>
  <c r="J42" i="41"/>
  <c r="D130" i="43"/>
  <c r="G27" i="43"/>
  <c r="G125" i="43"/>
  <c r="G20" i="43"/>
  <c r="G14" i="43"/>
  <c r="G130" i="43" l="1"/>
  <c r="F95" i="14" l="1"/>
  <c r="F75" i="14"/>
  <c r="E47" i="40"/>
  <c r="E48" i="40" s="1"/>
  <c r="F47" i="40"/>
  <c r="D47" i="40"/>
  <c r="H122" i="39"/>
  <c r="I122" i="39"/>
  <c r="J115" i="39"/>
  <c r="F84" i="14" l="1"/>
  <c r="F13" i="14" l="1"/>
  <c r="F68" i="14"/>
  <c r="G11" i="9" l="1"/>
  <c r="F24" i="14" l="1"/>
  <c r="L32" i="41" l="1"/>
  <c r="F76" i="36" l="1"/>
  <c r="F75" i="36"/>
  <c r="F74" i="36"/>
  <c r="J32" i="41"/>
  <c r="F77" i="36" l="1"/>
  <c r="F78" i="36" l="1"/>
  <c r="K32" i="41"/>
  <c r="F39" i="14" l="1"/>
  <c r="J26" i="24"/>
  <c r="H43" i="39" l="1"/>
  <c r="G43" i="39"/>
  <c r="J29" i="39" l="1"/>
  <c r="L24" i="41" l="1"/>
  <c r="J24" i="41"/>
  <c r="K24" i="41"/>
  <c r="G13" i="40"/>
  <c r="J17" i="24"/>
  <c r="E6" i="41"/>
  <c r="F89" i="14"/>
  <c r="J42" i="39"/>
  <c r="G14" i="40"/>
  <c r="G15" i="40"/>
  <c r="F88" i="14"/>
  <c r="F90" i="14"/>
  <c r="J100" i="39"/>
  <c r="G192" i="41"/>
  <c r="F32" i="41"/>
  <c r="F16" i="14"/>
  <c r="E32" i="41"/>
  <c r="F27" i="11"/>
  <c r="F30" i="41"/>
  <c r="F9" i="41"/>
  <c r="F8" i="41"/>
  <c r="F10" i="41"/>
  <c r="J94" i="39"/>
  <c r="E9" i="9"/>
  <c r="E37" i="9"/>
  <c r="D61" i="36"/>
  <c r="D18" i="14"/>
  <c r="E61" i="36"/>
  <c r="F20" i="12"/>
  <c r="F12" i="13"/>
  <c r="E9" i="41"/>
  <c r="D9" i="41"/>
  <c r="E14" i="13"/>
  <c r="L33" i="41"/>
  <c r="L34" i="41"/>
  <c r="L36" i="41"/>
  <c r="L57" i="41"/>
  <c r="F72" i="14"/>
  <c r="F60" i="14"/>
  <c r="G15" i="9"/>
  <c r="C48" i="36"/>
  <c r="F26" i="25"/>
  <c r="F26" i="11"/>
  <c r="G49" i="41"/>
  <c r="F53" i="36"/>
  <c r="J121" i="39"/>
  <c r="E8" i="41"/>
  <c r="C18" i="14"/>
  <c r="F24" i="11"/>
  <c r="F28" i="11"/>
  <c r="F33" i="41"/>
  <c r="F57" i="41"/>
  <c r="J18" i="39"/>
  <c r="J56" i="39"/>
  <c r="J8" i="39"/>
  <c r="J87" i="39"/>
  <c r="F70" i="14"/>
  <c r="F71" i="14"/>
  <c r="F73" i="14"/>
  <c r="G18" i="9"/>
  <c r="G19" i="9"/>
  <c r="G20" i="9"/>
  <c r="G21" i="9"/>
  <c r="G22" i="9"/>
  <c r="G23" i="9"/>
  <c r="G14" i="9"/>
  <c r="D8" i="41"/>
  <c r="D10" i="41"/>
  <c r="G91" i="39"/>
  <c r="E10" i="41"/>
  <c r="C10" i="11"/>
  <c r="F32" i="36"/>
  <c r="F33" i="36"/>
  <c r="E57" i="41"/>
  <c r="F31" i="36"/>
  <c r="F30" i="36"/>
  <c r="J10" i="24"/>
  <c r="F16" i="25"/>
  <c r="D9" i="9"/>
  <c r="D14" i="13"/>
  <c r="L35" i="41"/>
  <c r="J12" i="41"/>
  <c r="C61" i="36"/>
  <c r="J14" i="41"/>
  <c r="J36" i="41"/>
  <c r="C10" i="12"/>
  <c r="G12" i="40"/>
  <c r="G24" i="40"/>
  <c r="G29" i="40"/>
  <c r="G30" i="40"/>
  <c r="D32" i="41"/>
  <c r="D33" i="41"/>
  <c r="G42" i="40"/>
  <c r="F7" i="25"/>
  <c r="F8" i="25"/>
  <c r="F9" i="25"/>
  <c r="F10" i="25"/>
  <c r="F11" i="25"/>
  <c r="F12" i="25"/>
  <c r="F13" i="25"/>
  <c r="F14" i="25"/>
  <c r="F15" i="25"/>
  <c r="F17" i="25"/>
  <c r="F18" i="25"/>
  <c r="F19" i="25"/>
  <c r="F20" i="25"/>
  <c r="F21" i="25"/>
  <c r="F22" i="25"/>
  <c r="F23" i="25"/>
  <c r="F24" i="25"/>
  <c r="F25" i="25"/>
  <c r="J8" i="24"/>
  <c r="J9" i="24"/>
  <c r="J11" i="24"/>
  <c r="J13" i="24"/>
  <c r="J14" i="24"/>
  <c r="J15" i="24"/>
  <c r="J16" i="24"/>
  <c r="J21" i="24"/>
  <c r="F7" i="22"/>
  <c r="F9" i="22"/>
  <c r="F12" i="14"/>
  <c r="F15" i="14"/>
  <c r="F54" i="14"/>
  <c r="F21" i="14"/>
  <c r="F22" i="14"/>
  <c r="F23" i="14"/>
  <c r="F55" i="14"/>
  <c r="F25" i="14"/>
  <c r="F57" i="14"/>
  <c r="F29" i="14"/>
  <c r="F30" i="14"/>
  <c r="F47" i="14"/>
  <c r="F31" i="14"/>
  <c r="F48" i="14"/>
  <c r="F58" i="14"/>
  <c r="F59" i="14"/>
  <c r="C10" i="13"/>
  <c r="C14" i="13"/>
  <c r="J35" i="41"/>
  <c r="F11" i="13"/>
  <c r="J34" i="41"/>
  <c r="F11" i="11"/>
  <c r="F12" i="11"/>
  <c r="F13" i="11"/>
  <c r="F14" i="11"/>
  <c r="F20" i="11"/>
  <c r="F22" i="11"/>
  <c r="C45" i="11"/>
  <c r="J33" i="41" s="1"/>
  <c r="F19" i="36"/>
  <c r="F20" i="36"/>
  <c r="F21" i="36"/>
  <c r="F22" i="36"/>
  <c r="F23" i="36"/>
  <c r="F24" i="36"/>
  <c r="F25" i="36"/>
  <c r="F27" i="36"/>
  <c r="F28" i="36"/>
  <c r="F29" i="36"/>
  <c r="F41" i="36"/>
  <c r="F51" i="36"/>
  <c r="F52" i="36"/>
  <c r="F60" i="36"/>
  <c r="F64" i="36"/>
  <c r="G10" i="9"/>
  <c r="D37" i="9"/>
  <c r="J31" i="41" s="1"/>
  <c r="J9" i="39"/>
  <c r="J10" i="39"/>
  <c r="J33" i="39"/>
  <c r="J47" i="39"/>
  <c r="J49" i="39"/>
  <c r="J51" i="39"/>
  <c r="J52" i="39"/>
  <c r="J54" i="39"/>
  <c r="J55" i="39"/>
  <c r="J61" i="39"/>
  <c r="J65" i="39"/>
  <c r="J69" i="39"/>
  <c r="J70" i="39"/>
  <c r="J71" i="39"/>
  <c r="J72" i="39"/>
  <c r="J73" i="39"/>
  <c r="J83" i="39"/>
  <c r="J85" i="39"/>
  <c r="J111" i="39"/>
  <c r="J112" i="39"/>
  <c r="J113" i="39"/>
  <c r="J114" i="39"/>
  <c r="J116" i="39"/>
  <c r="J117" i="39"/>
  <c r="J118" i="39"/>
  <c r="J119" i="39"/>
  <c r="J120" i="39"/>
  <c r="D57" i="41"/>
  <c r="K57" i="41"/>
  <c r="J84" i="39"/>
  <c r="F38" i="14"/>
  <c r="C17" i="36" l="1"/>
  <c r="D97" i="14"/>
  <c r="D30" i="41"/>
  <c r="D48" i="40"/>
  <c r="E30" i="41"/>
  <c r="G30" i="41" s="1"/>
  <c r="F107" i="14"/>
  <c r="F10" i="14"/>
  <c r="K35" i="41"/>
  <c r="M35" i="41" s="1"/>
  <c r="F23" i="13"/>
  <c r="F10" i="13"/>
  <c r="F30" i="12"/>
  <c r="F10" i="12"/>
  <c r="K31" i="41"/>
  <c r="G37" i="9"/>
  <c r="K33" i="41"/>
  <c r="M33" i="41" s="1"/>
  <c r="F45" i="11"/>
  <c r="F10" i="11"/>
  <c r="K12" i="41"/>
  <c r="L14" i="41"/>
  <c r="K36" i="41"/>
  <c r="M36" i="41" s="1"/>
  <c r="K34" i="41"/>
  <c r="M34" i="41" s="1"/>
  <c r="F6" i="41"/>
  <c r="G6" i="41" s="1"/>
  <c r="D6" i="41"/>
  <c r="F35" i="11"/>
  <c r="G57" i="41"/>
  <c r="E33" i="41"/>
  <c r="G33" i="41" s="1"/>
  <c r="D22" i="12"/>
  <c r="E62" i="36"/>
  <c r="E66" i="36" s="1"/>
  <c r="F29" i="25"/>
  <c r="J20" i="24"/>
  <c r="F18" i="14"/>
  <c r="C97" i="14"/>
  <c r="C98" i="14" s="1"/>
  <c r="J11" i="41" s="1"/>
  <c r="D15" i="13"/>
  <c r="E29" i="9"/>
  <c r="G29" i="9" s="1"/>
  <c r="C22" i="12"/>
  <c r="C32" i="12" s="1"/>
  <c r="M24" i="41"/>
  <c r="M57" i="41"/>
  <c r="J45" i="41"/>
  <c r="K45" i="41"/>
  <c r="M40" i="41"/>
  <c r="M41" i="41"/>
  <c r="M44" i="41"/>
  <c r="G32" i="41"/>
  <c r="G26" i="40"/>
  <c r="G33" i="40"/>
  <c r="J13" i="41"/>
  <c r="F23" i="22"/>
  <c r="F85" i="14"/>
  <c r="C15" i="13"/>
  <c r="J10" i="41" s="1"/>
  <c r="E15" i="13"/>
  <c r="F14" i="13"/>
  <c r="E22" i="12"/>
  <c r="E32" i="12" s="1"/>
  <c r="C37" i="11"/>
  <c r="F47" i="36"/>
  <c r="C62" i="36"/>
  <c r="C66" i="36" s="1"/>
  <c r="F61" i="36"/>
  <c r="F58" i="36"/>
  <c r="M32" i="41"/>
  <c r="J37" i="41"/>
  <c r="D62" i="36"/>
  <c r="J57" i="39"/>
  <c r="F14" i="36"/>
  <c r="J91" i="39"/>
  <c r="G10" i="41"/>
  <c r="J122" i="39"/>
  <c r="G8" i="41"/>
  <c r="G9" i="41"/>
  <c r="J109" i="39"/>
  <c r="L31" i="41"/>
  <c r="L37" i="41" s="1"/>
  <c r="D29" i="9"/>
  <c r="G28" i="9"/>
  <c r="K14" i="41"/>
  <c r="M42" i="41"/>
  <c r="L12" i="41"/>
  <c r="F96" i="14"/>
  <c r="D98" i="14" l="1"/>
  <c r="C67" i="36"/>
  <c r="C80" i="36" s="1"/>
  <c r="D66" i="36"/>
  <c r="K10" i="41"/>
  <c r="D37" i="11"/>
  <c r="M12" i="41"/>
  <c r="D17" i="36"/>
  <c r="F13" i="36"/>
  <c r="K9" i="41"/>
  <c r="M14" i="41"/>
  <c r="F15" i="13"/>
  <c r="K37" i="41"/>
  <c r="K46" i="41" s="1"/>
  <c r="K6" i="41"/>
  <c r="D32" i="12"/>
  <c r="J9" i="41"/>
  <c r="G47" i="40"/>
  <c r="D25" i="13"/>
  <c r="E39" i="9"/>
  <c r="F48" i="36"/>
  <c r="E98" i="14"/>
  <c r="F36" i="11"/>
  <c r="L10" i="41"/>
  <c r="F97" i="14"/>
  <c r="F22" i="12"/>
  <c r="L9" i="41"/>
  <c r="M38" i="41"/>
  <c r="C25" i="13"/>
  <c r="C109" i="14"/>
  <c r="E25" i="13"/>
  <c r="E37" i="11"/>
  <c r="L8" i="41" s="1"/>
  <c r="J46" i="41"/>
  <c r="D31" i="41"/>
  <c r="D46" i="41" s="1"/>
  <c r="J8" i="41"/>
  <c r="C47" i="11"/>
  <c r="F62" i="36"/>
  <c r="F16" i="36"/>
  <c r="L6" i="41"/>
  <c r="M31" i="41"/>
  <c r="J6" i="41"/>
  <c r="D39" i="9"/>
  <c r="F65" i="36"/>
  <c r="L45" i="41"/>
  <c r="E17" i="36"/>
  <c r="E67" i="36" s="1"/>
  <c r="M10" i="41" l="1"/>
  <c r="D67" i="36"/>
  <c r="K11" i="41"/>
  <c r="D109" i="14"/>
  <c r="D47" i="11"/>
  <c r="K8" i="41"/>
  <c r="M8" i="41" s="1"/>
  <c r="M9" i="41"/>
  <c r="G39" i="9"/>
  <c r="F25" i="13"/>
  <c r="F32" i="12"/>
  <c r="L11" i="41"/>
  <c r="M37" i="41"/>
  <c r="M6" i="41"/>
  <c r="K13" i="41"/>
  <c r="F98" i="14"/>
  <c r="E109" i="14"/>
  <c r="J43" i="39"/>
  <c r="J7" i="41"/>
  <c r="J25" i="41" s="1"/>
  <c r="J60" i="41" s="1"/>
  <c r="E47" i="11"/>
  <c r="F37" i="11"/>
  <c r="L46" i="41"/>
  <c r="M45" i="41"/>
  <c r="F66" i="36"/>
  <c r="M11" i="41" l="1"/>
  <c r="F109" i="14"/>
  <c r="F47" i="11"/>
  <c r="F17" i="36"/>
  <c r="M46" i="41"/>
  <c r="D80" i="36" l="1"/>
  <c r="K7" i="41"/>
  <c r="K25" i="41" s="1"/>
  <c r="K60" i="41" s="1"/>
  <c r="E80" i="36" l="1"/>
  <c r="L7" i="41"/>
  <c r="F67" i="36"/>
  <c r="F80" i="36" l="1"/>
  <c r="M7" i="41"/>
  <c r="E31" i="41" l="1"/>
  <c r="E46" i="41" l="1"/>
  <c r="L13" i="41" l="1"/>
  <c r="L25" i="41" s="1"/>
  <c r="L60" i="41" s="1"/>
  <c r="J27" i="24"/>
  <c r="M13" i="41" l="1"/>
  <c r="M25" i="41"/>
  <c r="M60" i="41" l="1"/>
  <c r="I20" i="39" l="1"/>
  <c r="G20" i="39"/>
  <c r="H20" i="39"/>
  <c r="G30" i="39" l="1"/>
  <c r="G44" i="39" s="1"/>
  <c r="H30" i="39"/>
  <c r="H44" i="39" s="1"/>
  <c r="I30" i="39"/>
  <c r="I44" i="39" s="1"/>
  <c r="J20" i="39"/>
  <c r="D7" i="41" l="1"/>
  <c r="D25" i="41" s="1"/>
  <c r="D60" i="41" s="1"/>
  <c r="G123" i="39"/>
  <c r="J44" i="39"/>
  <c r="I123" i="39"/>
  <c r="H123" i="39"/>
  <c r="E7" i="41"/>
  <c r="E25" i="41" s="1"/>
  <c r="E60" i="41" s="1"/>
  <c r="F7" i="41"/>
  <c r="J30" i="39"/>
  <c r="G7" i="41" l="1"/>
  <c r="J123" i="39"/>
  <c r="F25" i="41"/>
  <c r="G25" i="41" s="1"/>
  <c r="G21" i="40"/>
  <c r="F22" i="40"/>
  <c r="F48" i="40" s="1"/>
  <c r="F31" i="41" l="1"/>
  <c r="G31" i="41" s="1"/>
  <c r="G48" i="40"/>
  <c r="G22" i="40"/>
  <c r="F46" i="41" l="1"/>
  <c r="F60" i="41" s="1"/>
  <c r="G46" i="41" l="1"/>
  <c r="G60" i="41"/>
</calcChain>
</file>

<file path=xl/sharedStrings.xml><?xml version="1.0" encoding="utf-8"?>
<sst xmlns="http://schemas.openxmlformats.org/spreadsheetml/2006/main" count="2607" uniqueCount="1377">
  <si>
    <t>FELHALMOZÁSI CÉLÚ ÁTVETT PÉNZESZKÖZÖK ÖSSZESEN</t>
  </si>
  <si>
    <t>Arany János ösztöndíj</t>
  </si>
  <si>
    <t>Savaria Múzeum összesen</t>
  </si>
  <si>
    <t>Capella Savaria</t>
  </si>
  <si>
    <t>Ferrum Színházi Társulat</t>
  </si>
  <si>
    <t>Lakás bérleti díj támogatása</t>
  </si>
  <si>
    <t>Parkolásgazdálkodási kiadás</t>
  </si>
  <si>
    <t>Joska Ola Alapítvány</t>
  </si>
  <si>
    <t>Áfa befizetés (saját bevételből)</t>
  </si>
  <si>
    <t>Intézményi vagyonbiztosítások</t>
  </si>
  <si>
    <t>Oktatási intézmények összesen:</t>
  </si>
  <si>
    <t xml:space="preserve">Oktatási ágazat </t>
  </si>
  <si>
    <t>Sportágazat kiadásai mindösszesen</t>
  </si>
  <si>
    <t>Helyi iparűzési adó</t>
  </si>
  <si>
    <t>Helyettes szülői hálózat</t>
  </si>
  <si>
    <t>Városi pedagógus nap, tanévnyító ünnepség</t>
  </si>
  <si>
    <t>Szombathely Város Fúvószenekar támogatása</t>
  </si>
  <si>
    <t>ezer forintban</t>
  </si>
  <si>
    <t>Felhalmozási kiadások</t>
  </si>
  <si>
    <t>Önkormányzat egyéb kiadásai (informatikai kiadások)</t>
  </si>
  <si>
    <t>Informatikai fejlesztések</t>
  </si>
  <si>
    <t>Oktatási ágazat kiadásai</t>
  </si>
  <si>
    <t>Szociális ágazat kiadásai</t>
  </si>
  <si>
    <t>Egészségügyi ágazat kiadásai</t>
  </si>
  <si>
    <t>Sport ágazat kiadásai</t>
  </si>
  <si>
    <t>Köztemetés költségeinek megtérítése</t>
  </si>
  <si>
    <t>Kiszámlázott és befizetendő áfa</t>
  </si>
  <si>
    <t>Vas megye és Szombathely Megyei Jogú Város Nyugdíjas Közösségeinek Szövetsége támogatása</t>
  </si>
  <si>
    <t>Önkormányzat egyéb kiadásai</t>
  </si>
  <si>
    <t>Önkormányzat egyéb kiadásai (Hatósági kiadások)</t>
  </si>
  <si>
    <t>Önkormányzat egyéb kiadásai (Főépítészi kiadások)</t>
  </si>
  <si>
    <t>Megnevezés</t>
  </si>
  <si>
    <t>Épitményadó</t>
  </si>
  <si>
    <t>Működési célú maradvány</t>
  </si>
  <si>
    <t>Költségvetési szervek beruházásai és felújításai</t>
  </si>
  <si>
    <t>2.</t>
  </si>
  <si>
    <t>Nagyprojektek, projektek</t>
  </si>
  <si>
    <t>Bérleti díj</t>
  </si>
  <si>
    <t>Lakáskölcsöntörlesztés</t>
  </si>
  <si>
    <t>Nyugdíjasok háza befizetés</t>
  </si>
  <si>
    <t xml:space="preserve">     Beruházások  összesen</t>
  </si>
  <si>
    <t>Vásárcsarnok átadott pénzeszköze</t>
  </si>
  <si>
    <t>Hézagkiöntés</t>
  </si>
  <si>
    <t>Közvilágítás</t>
  </si>
  <si>
    <t>Hídfenntartás</t>
  </si>
  <si>
    <t>Idegenforgalmi adó</t>
  </si>
  <si>
    <t>Polgármesteri Hivatal</t>
  </si>
  <si>
    <t>Pálos K. Szociális Szolgáltató Központ és Gyermekjóléti Szolgálat</t>
  </si>
  <si>
    <t>Esőemberke Alapítvány támogatása</t>
  </si>
  <si>
    <t>Háziorvosi rendelők karbantartása</t>
  </si>
  <si>
    <t>Lelkisegély szolgálat támogatása  (szerződés) - Telehumanitas Szombathelyi Mentálhigiénés Egyesület</t>
  </si>
  <si>
    <t>Víziközmű és szennyvízközmű használati díjbevételhez kapcsolódó áfa visszaigénylés</t>
  </si>
  <si>
    <t>Gyermek és ifjúsági sport támogatása</t>
  </si>
  <si>
    <t>Gyermek és ifjúsági kitüntetések</t>
  </si>
  <si>
    <t>Éves hídvizsgálat</t>
  </si>
  <si>
    <t>Környezetvédelmi birság</t>
  </si>
  <si>
    <t>Tartalékok</t>
  </si>
  <si>
    <t xml:space="preserve"> </t>
  </si>
  <si>
    <t>Munkáltatói kölcsön</t>
  </si>
  <si>
    <t>Szombathelyi Hospice Alapítvány</t>
  </si>
  <si>
    <t>Közterület felügyelet</t>
  </si>
  <si>
    <t>Egyéb bevételek</t>
  </si>
  <si>
    <t>Közterület foglalás</t>
  </si>
  <si>
    <t>Egyéb feladatok</t>
  </si>
  <si>
    <t>Jelzőlámpák</t>
  </si>
  <si>
    <t>Burkolati jelek festése</t>
  </si>
  <si>
    <t>Posta költség</t>
  </si>
  <si>
    <t>Egyesített Bölcsődei Intézmény</t>
  </si>
  <si>
    <t>Vásárcsarnok</t>
  </si>
  <si>
    <t xml:space="preserve">Pedagógus kituntetések </t>
  </si>
  <si>
    <t>Helyiségek és lakások bérleti díja</t>
  </si>
  <si>
    <t>Földhaszonbérlet</t>
  </si>
  <si>
    <t>Egészség-hét</t>
  </si>
  <si>
    <t>Humán Civil ház</t>
  </si>
  <si>
    <t>Segély önkormányzati támogatásból</t>
  </si>
  <si>
    <t>Szociális ágazat</t>
  </si>
  <si>
    <t>Kulturális intézmények támogatása</t>
  </si>
  <si>
    <t>Városi kulturális intézmények</t>
  </si>
  <si>
    <t>Weöres Sándor Színház Nonprofit Kft. összesen</t>
  </si>
  <si>
    <t>Városi kulturális intézmények és Weöres S. Színház összesen</t>
  </si>
  <si>
    <t>RENDEZVÉNYEK ÖSSZESEN</t>
  </si>
  <si>
    <t>Egészségügyi civil szervezetek támogatása</t>
  </si>
  <si>
    <t>Óvodák</t>
  </si>
  <si>
    <t>Finanszírozási műveletek</t>
  </si>
  <si>
    <t>Finanszírozási műveletek összesen</t>
  </si>
  <si>
    <t>Felhalmozási célú visszatérítendő támogatások, kölcsönök visszatérülése államháztartáson kívülről</t>
  </si>
  <si>
    <t>Egészségügyi ágazat</t>
  </si>
  <si>
    <t>összesen</t>
  </si>
  <si>
    <t>Pénzeszközátadás</t>
  </si>
  <si>
    <t>Kalandváros és Műjégpálya óvodai és iskolai csoportok által történő szervezett látogatásának támogatása</t>
  </si>
  <si>
    <t xml:space="preserve">Kommunális városüzemeltetési és környezetvédelmi kiadások  </t>
  </si>
  <si>
    <t>Közhatalmi bevételek</t>
  </si>
  <si>
    <t>Közterület-felügyelet átjátszó bérleti díj</t>
  </si>
  <si>
    <t>Petz ösztöndíj</t>
  </si>
  <si>
    <t>Erdőgazdálkodási költség</t>
  </si>
  <si>
    <t>Önkormányzati konferenciák, rendezvények, fogadások</t>
  </si>
  <si>
    <t>Vizhasználati dij</t>
  </si>
  <si>
    <t>Szolgalmi joggal terhelt épületrész karbantartása</t>
  </si>
  <si>
    <t>mód.ei.</t>
  </si>
  <si>
    <t>teljesítés</t>
  </si>
  <si>
    <t>Teljesítés</t>
  </si>
  <si>
    <t>%-a</t>
  </si>
  <si>
    <t>KÖLTSÉGVETÉSI SZERVEK FELHALMOZÁSI BEVÉTELEI ÖSSZESEN</t>
  </si>
  <si>
    <t>"Szombathely visszavár" ösztöndíjrendszer</t>
  </si>
  <si>
    <t>Működési célú nagyprojektek, projektek</t>
  </si>
  <si>
    <t>Jelzőtáblák (forgalmi rend változás)</t>
  </si>
  <si>
    <t>Kátyúkár - önerő biztosítás</t>
  </si>
  <si>
    <t>Környezetvédelmi kiadások</t>
  </si>
  <si>
    <t>Kommunális és vároüzemeltetési kiadások összesen</t>
  </si>
  <si>
    <t>Városfejlesztési alap</t>
  </si>
  <si>
    <t>ÖNKORMÁNYZATOK MŰKÖDÉSI TÁMOGATÁSAI</t>
  </si>
  <si>
    <t>JÖVEDELEMADÓK</t>
  </si>
  <si>
    <t>VAGYONI TÍPUSÚ ADÓK</t>
  </si>
  <si>
    <t>TERMÉK ÉS SZOLGÁLTATÁSOK ADÓI</t>
  </si>
  <si>
    <t>EGYÉB KÖZHATALMI BEVÉTELEK</t>
  </si>
  <si>
    <t>KÖLTSÉGVETÉSI SZERVEK MŰKÖDÉSI BEVÉTELEI</t>
  </si>
  <si>
    <t xml:space="preserve">Felhalmozási célú önkormányzati támogatások </t>
  </si>
  <si>
    <t>Egyéb felhalmozási célú támogatások bevételei államháztartáson belülről</t>
  </si>
  <si>
    <t>Egyéb felhalmozási célú átvett pénzeszközök</t>
  </si>
  <si>
    <t>Működési célú visszatérítendő támogatások, kölcsönök visszatérülése államháztartáson kívülről</t>
  </si>
  <si>
    <t>Egyéb működési célú átvett pénzeszközök</t>
  </si>
  <si>
    <t>EGYÉB MŰKÖDÉSI CÉLÚ TÁMOGATÁSOK BEVÉTELEI ÁLLAMHÁZTARTÁSON BELÜLRŐL</t>
  </si>
  <si>
    <t>ELVONÁSOK ÉS BEFIZETÉSEK BEVÉTELEI</t>
  </si>
  <si>
    <t>Kiszámlázott általános forgalmi adó és áfa visszatérítése</t>
  </si>
  <si>
    <t>Kamatbevételek</t>
  </si>
  <si>
    <t>SOS Gyermekfalu Magyarországi Alapítvány támogatása (átmeneti vagy tartós nevelésbe vett gyermekek, fiatal felnőttek gyermekvédelmi szakellátása)</t>
  </si>
  <si>
    <t>Versenyek rendezvények, támogatások</t>
  </si>
  <si>
    <t>Zanati Kulturális és Sportegyesület</t>
  </si>
  <si>
    <t>Gyöngyöshermán-Szentkirályi Polgári Kör</t>
  </si>
  <si>
    <t>Herényi Kulturális és Sportegyesület</t>
  </si>
  <si>
    <t>Petőfi Telepért Egyesület</t>
  </si>
  <si>
    <t>Derkovits Városrészért Közhasznú Egyesület</t>
  </si>
  <si>
    <t>Könyvvizsgálói költség</t>
  </si>
  <si>
    <t>Állami és önkormányzati adatbázisok használati, továbbvezetési, karbantartási és szolgáltatási díja</t>
  </si>
  <si>
    <t>Közösségi közlekedés (buszmegállók kialakítása, leszálló szigetek helyreállítása, kialakítása)</t>
  </si>
  <si>
    <t>vagyongazdálkodási kiadások (ingatlan kisajátítás, vásárlás)</t>
  </si>
  <si>
    <t>Szombathelyi Köznevelési GAMESZ</t>
  </si>
  <si>
    <t>Működési célú költségvetési támogatások és kiegészítő támogatások</t>
  </si>
  <si>
    <t>Felhalmozási célú visszatérítendő támogatások, kölcsönök visszatérülése államháztartáson belülről</t>
  </si>
  <si>
    <t>Folyékony hulladékgyűjtés</t>
  </si>
  <si>
    <t>ISIS Big Band támogatása</t>
  </si>
  <si>
    <t>Office 365 rendszer működtetése</t>
  </si>
  <si>
    <t>Integrált pénzügyi rendszer üzemeltetés az intézményekben</t>
  </si>
  <si>
    <t>Költségvetési szervek beruházásai és felújításai összesen:</t>
  </si>
  <si>
    <t xml:space="preserve">Önkormányzati bérlakások felújítása </t>
  </si>
  <si>
    <t>Szociális hét</t>
  </si>
  <si>
    <t>Önkormányzati bevételekkel fedezett kiadások összesen intézményi kiadások nélkül</t>
  </si>
  <si>
    <t>Szociális intézmény összesen</t>
  </si>
  <si>
    <t>Működési kiadások</t>
  </si>
  <si>
    <t>Egészségügyi intézmény összesen</t>
  </si>
  <si>
    <t>Önkormányzati gyermekvédelmi kiadások összesen</t>
  </si>
  <si>
    <t xml:space="preserve">Áfa visszaigénylés </t>
  </si>
  <si>
    <t>Önkormányzati szociális kiadások összesen</t>
  </si>
  <si>
    <t>Önkormányzati egészségügyi kiadások összesen</t>
  </si>
  <si>
    <t>Gyermekvédelmi intézmény összesen</t>
  </si>
  <si>
    <t>Önkormányzati felhalmozási kiadások mindösszesen</t>
  </si>
  <si>
    <t>Működési célú támogatások ÁH-on belülről</t>
  </si>
  <si>
    <t>Szent Márton kártya értékesítése</t>
  </si>
  <si>
    <t>Érzékenyítő programok - Helyi esélyegyenlőségi program keretében</t>
  </si>
  <si>
    <t>Szociális önkormányzati kitüntetések</t>
  </si>
  <si>
    <t>Egészségügyi dolgozók kitüntetése</t>
  </si>
  <si>
    <t>TOP projektek auditálási kiadásai</t>
  </si>
  <si>
    <t>Kulturális kiadások, média</t>
  </si>
  <si>
    <t>Működési célú átvett pénzeszközök</t>
  </si>
  <si>
    <t>Kommunális, városüzemeltetési és környezetvédelmi kiadások</t>
  </si>
  <si>
    <t>Tartalékok össszesen</t>
  </si>
  <si>
    <t xml:space="preserve"> Működési célú bevételek összesen :</t>
  </si>
  <si>
    <t>FELHALMOZÁSI KIADÁSOK</t>
  </si>
  <si>
    <t>Intézményi felhalmozási kiadások</t>
  </si>
  <si>
    <t>Felhalmozási célú támogatások államháztartáson belülről</t>
  </si>
  <si>
    <t>Felhalmozási célú átvett péneszközök</t>
  </si>
  <si>
    <t>Intézményi felhalmozási kiadások össszesen</t>
  </si>
  <si>
    <t>Önkormányzati felhalmozási kiadások össszesen</t>
  </si>
  <si>
    <t xml:space="preserve">Központi költségvetés részére visszafizetési kötelezettség </t>
  </si>
  <si>
    <t>Felhalmozási bevételek</t>
  </si>
  <si>
    <t>Közbeszerzési kiadások</t>
  </si>
  <si>
    <t>Vízelnyelők tisztítása</t>
  </si>
  <si>
    <t>Közhasznú információk támogatása</t>
  </si>
  <si>
    <t xml:space="preserve">Közlekedés, útépítés, közvilágítás, hídfelújítás </t>
  </si>
  <si>
    <t>Közművesítés</t>
  </si>
  <si>
    <t>Egyéb beruházások</t>
  </si>
  <si>
    <t>Lakásalap</t>
  </si>
  <si>
    <t>1.</t>
  </si>
  <si>
    <t>3.</t>
  </si>
  <si>
    <t>4.</t>
  </si>
  <si>
    <t>Vagyongazdálkodás</t>
  </si>
  <si>
    <t>5.</t>
  </si>
  <si>
    <t>Pénzeszközátadás összesen:</t>
  </si>
  <si>
    <t>Lakásalap összesen:</t>
  </si>
  <si>
    <t>Vagyongazdálkodás összesen</t>
  </si>
  <si>
    <t>Beruházások</t>
  </si>
  <si>
    <t xml:space="preserve">SZOMBATHELY MEGYEI JOGÚ VÁROS ÖNKORMÁNYZATÁNAK  PÉNZÜGYI  MÉRLEGE        </t>
  </si>
  <si>
    <t>Út-híd fenntartás</t>
  </si>
  <si>
    <t>Közhasznú információk támogatása összesen</t>
  </si>
  <si>
    <t>EGYÉB TÁMOGATÁSOK MINDÖSSZESEN</t>
  </si>
  <si>
    <t>Média</t>
  </si>
  <si>
    <t>MÉDIA MINDÖSSZESEN</t>
  </si>
  <si>
    <t>Rendőrség támogatása</t>
  </si>
  <si>
    <t>Szökőkutak előre nem látható hibaelhárítása</t>
  </si>
  <si>
    <t xml:space="preserve"> Működési célú kiadások összesen :</t>
  </si>
  <si>
    <t>Fejlesztési céltartalék</t>
  </si>
  <si>
    <t>Sport</t>
  </si>
  <si>
    <t>eredeti ei.</t>
  </si>
  <si>
    <t>Foltos bevonat</t>
  </si>
  <si>
    <t>Helyreállítások (teljes pályaszerkezet csere)</t>
  </si>
  <si>
    <t>Hidak, műtárgyak üzemeltetése (lemosása)</t>
  </si>
  <si>
    <t>Járdafenntartás</t>
  </si>
  <si>
    <t>Polgármesteri keret</t>
  </si>
  <si>
    <t xml:space="preserve">Technikai, bevétellel 100%-ig fedezett tételek </t>
  </si>
  <si>
    <t>Lakás és helyiségüzemeltetés (bevétellel)</t>
  </si>
  <si>
    <t xml:space="preserve">Egyéb tagdijak </t>
  </si>
  <si>
    <t xml:space="preserve">Egyéb önkormányzati kitüntetések </t>
  </si>
  <si>
    <t xml:space="preserve"> összesen</t>
  </si>
  <si>
    <t>Egyéb, más ágazathoz nem sorolható intézmények és feladatok kiadásai</t>
  </si>
  <si>
    <t>MŰKÖDÉSI BEVÉTELEK</t>
  </si>
  <si>
    <t>MŰKÖDÉSI KIADÁSOK</t>
  </si>
  <si>
    <t>Egyéb fejlesztések</t>
  </si>
  <si>
    <t>Egyéb adó és bírságok, pótlékok</t>
  </si>
  <si>
    <t>Szombathelyi Civil Kerekasztal támogatása</t>
  </si>
  <si>
    <t>Víziközmű és szennyvízközmű használati díjbevétel</t>
  </si>
  <si>
    <t>Működési bevételek</t>
  </si>
  <si>
    <t>Közművelődési kiegészítő támogatás - Berzsenyi D. Könyvtár</t>
  </si>
  <si>
    <t>Települési hulladékkezelés és köztisztasági tevékenység, és hóeltakarítás</t>
  </si>
  <si>
    <t>Megyei hatókörű városi múzeumok feladatainak támogatása - Savaria Múzeum feladatainak támogatása</t>
  </si>
  <si>
    <t>Berzsenyi Dániel megyei könyvtár kistelepülési könyvtári célú kiegészítő támogatása</t>
  </si>
  <si>
    <t>Megyeszékhely megyei jogú városok közművelődési feladatainak támogatása</t>
  </si>
  <si>
    <t>Szombathely a segítés városa program</t>
  </si>
  <si>
    <t>Környezetállapot értékelés (talaj, víz, levegő)</t>
  </si>
  <si>
    <t>Egészségügyi és Kulturális intézmények GESZ</t>
  </si>
  <si>
    <t>Általános tartalék</t>
  </si>
  <si>
    <t>Útigénybevételi díj</t>
  </si>
  <si>
    <t>Vásárok bevétele</t>
  </si>
  <si>
    <t>Munkáltatói kölcsön visszatérülése</t>
  </si>
  <si>
    <t>Mesebolt Bábszínház</t>
  </si>
  <si>
    <t>Szombathelyi Szimfónikus Zenekar</t>
  </si>
  <si>
    <t>Önkormányzati napközis tábor megszervezése</t>
  </si>
  <si>
    <t>Tavak haszonbérbe adása</t>
  </si>
  <si>
    <t>SZOVA Zrt. Parkolásgazdálkodásból származó bevétel</t>
  </si>
  <si>
    <t>SZOVA Zrt. Parkolásgazdálkodásból származó ÁFA visszatérülés</t>
  </si>
  <si>
    <t>Vagyongazdálkodásból származó bevétel</t>
  </si>
  <si>
    <t>Mesebolt Bábszínház összesen</t>
  </si>
  <si>
    <t>Kulturális és Civil Alap</t>
  </si>
  <si>
    <t>Támogatás kulturális pályázatokhoz, egyéb szervezetek, társaságok támogatása</t>
  </si>
  <si>
    <t>Nemzetiségi Önkormányzatok támogatása</t>
  </si>
  <si>
    <t xml:space="preserve">Polgárőr szervezetek támogatása </t>
  </si>
  <si>
    <t>Internet alapú városi hálózat</t>
  </si>
  <si>
    <t>Ungaresca Táncegyüttes</t>
  </si>
  <si>
    <t>Önkormányzati felhalmozási kiadások</t>
  </si>
  <si>
    <t>Költségvetési működési bevételek</t>
  </si>
  <si>
    <t>ELAMEN RT, és egyéb  bérleti díjak</t>
  </si>
  <si>
    <t xml:space="preserve">Önkormányzat </t>
  </si>
  <si>
    <t>MŰKÖDÉSI CÉLÚ TÁMOGATÁSOK ÁLLAMHÁZTARTÁSON BELÜLRŐL</t>
  </si>
  <si>
    <t>Egyéb kiadások</t>
  </si>
  <si>
    <t xml:space="preserve">Vagyongazdálkodási kiadások - szakértők igénybevétele, ügyvédi munkadíj, egyéb kiadások </t>
  </si>
  <si>
    <t>Intézményi felhalmozási maradvány</t>
  </si>
  <si>
    <t>Intézményi működési maradvány</t>
  </si>
  <si>
    <t>Szünidei gyermekétkeztetés</t>
  </si>
  <si>
    <t>MŰKÖDÉSI CÉLÚ ÁTVETT PÉNZESZKÖZÖK</t>
  </si>
  <si>
    <t>KÖZHATALMI BEVÉTELEK</t>
  </si>
  <si>
    <t>KÖZHATALMI BEVÉTELEK ÖSSZESEN</t>
  </si>
  <si>
    <t>KÖLTSÉGVETÉSI SZERVEK BEVÉTELEI</t>
  </si>
  <si>
    <t xml:space="preserve">Savaria Múzeum </t>
  </si>
  <si>
    <t xml:space="preserve">Berzsenyi Dániel könyvtár </t>
  </si>
  <si>
    <t>Zárt csapadék csatorna fenntartása</t>
  </si>
  <si>
    <t>évközi tervezések, útfelújítás tervezések</t>
  </si>
  <si>
    <t>MŰKÖDÉSI BEVÉTELEK ÖSSZESEN</t>
  </si>
  <si>
    <t>FELHALMOZÁSI BEVÉTELEK</t>
  </si>
  <si>
    <t>FELHALMOZÁSI BEVÉTELEK ÖSSZESEN</t>
  </si>
  <si>
    <t xml:space="preserve"> MŰKÖDÉSI BEVÉTELEK</t>
  </si>
  <si>
    <t>FELHALMZÁSI CÉLÚ TÁMOGATÁSOK ÁLLAMHÁZTARTÁSON BELÜLRŐL ÖSSZESEN</t>
  </si>
  <si>
    <t>FELHALMOZÁSI CÉLÚ ÁTVETT PÉNZESZKÖZÖK</t>
  </si>
  <si>
    <t>TOP-6.9.1-15 Társadalmi együttműködést elősegítő  komplex programok az Óperint városrészen</t>
  </si>
  <si>
    <t>TOP-6.8.2-15 Gazdaság- és fogl.fejl.partnerség a szhelyi járás területén</t>
  </si>
  <si>
    <t>TOP-6.4.1-15 SZMJV kerékpárosbarát fejlesztése</t>
  </si>
  <si>
    <t>TOP-6.5.2-1-15 Megújuló Szombathely - tiszta energia saját erőből</t>
  </si>
  <si>
    <t>TOP-6.2.1-15-00002 Óvoda fejlesztések Szombathelyen</t>
  </si>
  <si>
    <t>TOP-6.1.3-15 Szombathelyi Vásárcsarnok felújítása</t>
  </si>
  <si>
    <t>Szombathelyi Kézilabda klub és Akadémia támogatása</t>
  </si>
  <si>
    <t>Vízközmű- és szennyvízközmű használati díj terhére végzett beruházás</t>
  </si>
  <si>
    <t>FELHALMOZÁSI CÉLÚ TÁMOGATÁSOK ÁLLAMHÁZTARTÁSON BELÜLRŐL</t>
  </si>
  <si>
    <t>Egyéb működési célú bevétel</t>
  </si>
  <si>
    <t>GAMESZ</t>
  </si>
  <si>
    <t>Szombathelyi Egészségügyi és Kulturális Intézmények GESZ</t>
  </si>
  <si>
    <t>Működési célú költségvetési támogatások és kiegészítő támogatások összesen:</t>
  </si>
  <si>
    <t>a.)</t>
  </si>
  <si>
    <t>b.)</t>
  </si>
  <si>
    <t>Elvonások és befizetések bevételei</t>
  </si>
  <si>
    <t>c.)</t>
  </si>
  <si>
    <t>MŰKÖDÉSI CÉLÚ ÁTVETT PÉNZESZKÖZÖK ÖSSZESEN:</t>
  </si>
  <si>
    <t>KÖLTSÉGVETÉSI SZERVEK MŰKÖDÉSI BEVÉTELEI ÖSSZESEN</t>
  </si>
  <si>
    <t>SNI gyermekek (Óvoda) szakszolgálati ellátása</t>
  </si>
  <si>
    <t xml:space="preserve">Önkormányzati oktatási kiadások összesen </t>
  </si>
  <si>
    <t>Nem önkormányzati kulturális és civil szervezetek támogatása</t>
  </si>
  <si>
    <t xml:space="preserve">Nem önkormányzati kulturális és civil szervezetek támogatása </t>
  </si>
  <si>
    <t xml:space="preserve">Kulturális kitüntetés díja, Év Civil Szervezete díja …. </t>
  </si>
  <si>
    <t>ÖNKORMÁNYZATI KULTURÁLIS KIADÁSOK ÖSSZESEN</t>
  </si>
  <si>
    <t>Szolidaritási adó</t>
  </si>
  <si>
    <t>TOP-6.4.1-15 SZMJV kerékpárosbarát fejlesztése - hozzájárulás</t>
  </si>
  <si>
    <t>TOP-6.1.4-00004 Schrammel Imre életművének méltó elhelyezése Szombathelyen</t>
  </si>
  <si>
    <t xml:space="preserve">Modern Városok Program  - Szent Márton Terv II.ütem </t>
  </si>
  <si>
    <t>Modern Városok Program - Gothard kastély fejlesztése</t>
  </si>
  <si>
    <t>Szent Márton Esélyegyenlőségi Támogatási Program</t>
  </si>
  <si>
    <t>Fogyatékos emberek Világnapja, Föld Napi Gála, egyéb rendezvények</t>
  </si>
  <si>
    <t>Vasi Honvéd Bajtársi Egyesület támogatása</t>
  </si>
  <si>
    <t>Illegális hulladéklerakás</t>
  </si>
  <si>
    <t>Út-híd fenntartási kiadások</t>
  </si>
  <si>
    <t>Kulturális ágazat, média kiadásai</t>
  </si>
  <si>
    <t>Kulturális intézmények működési kiadásai össezesen:</t>
  </si>
  <si>
    <t>I. Helyi önkormányzatok működésének általános támogatása</t>
  </si>
  <si>
    <t>II. Települési önkormányzatok egyes köznevelési feladatainak támogatása</t>
  </si>
  <si>
    <t>Szociális ágazati összevont pótlék</t>
  </si>
  <si>
    <t>Oladi Városrészért Egyesület</t>
  </si>
  <si>
    <t>Hátrányos Helyzetű Roma Fiatalokat Támogató Közhasznú Egyesület támogatása</t>
  </si>
  <si>
    <t>Vas Megyei Tudományos Ismeretterjesztő Egyesület támogatása - közművelődési megállapodás</t>
  </si>
  <si>
    <t>Önkormányzati tulajdonú területek kaszálása</t>
  </si>
  <si>
    <t>Kerékpárút fenntartás</t>
  </si>
  <si>
    <t>Nyilt árok tisztítás, árokrendezés (árvízvédelmi művek, berendezések karbantartása)</t>
  </si>
  <si>
    <t>Térfigyelő Kamerarendszer üzemeltetése és  adatátviteli hálózat üzemeltetés</t>
  </si>
  <si>
    <t>Kámoni Fiókkönyvtár építése</t>
  </si>
  <si>
    <t>Működési célú maradvány - projektekhez</t>
  </si>
  <si>
    <t xml:space="preserve">Felhalmozási célú maradvány </t>
  </si>
  <si>
    <t>Felhalmozási célú maradvány - projektekhez</t>
  </si>
  <si>
    <t>Önkormányzati pavilonok tárolása, felújítása</t>
  </si>
  <si>
    <t>HÁROFIT Közhasznú Egyesület - közfoglalkoztatás támogatása</t>
  </si>
  <si>
    <t>TOP-6.5.1-16 - SH1-2018-00001 Önkormányzati épületek energetikai korszerűsítése - Maros és Pipitér Óvoda</t>
  </si>
  <si>
    <t>TOP-6.5.1-16 - SH1-2018-00002 Önkormányzati épületek energetikai korszerűsítése - Oladi Szakgimnázizum és Szakközépiskola</t>
  </si>
  <si>
    <t>TOP-6.5.1.16-SH1-2018-00002  Önkormányzati épületek energetikai korszerűsítése - Oladi Szakgimnázium és Szakközépiskola</t>
  </si>
  <si>
    <t>TOP-6.5.1.16-SH1-2018-00001  Önkormányzati épületek energetikai korszerűsítése - Maros és Pipitér Óvoda</t>
  </si>
  <si>
    <t>Egységes ügyiratkezelő szoftver az önkormányzat által működtetett intézményekben</t>
  </si>
  <si>
    <t>SZMJV Diákönkormányzat - rendezvények, programok, támogatások, egyéb kiadások</t>
  </si>
  <si>
    <t>KULTURÁLIS MŰKÖDÉSI CÉLÚ KIADÁSOK ÖSSZESEN</t>
  </si>
  <si>
    <t>Önkormányzati, egyéb más ágazathoz nem sorolható kiadások összesen</t>
  </si>
  <si>
    <t>Savaria Városfejlesztési Nonprofit Kft. támogatása</t>
  </si>
  <si>
    <t>Csaba úti felüljáró fenntartása, karbantartása</t>
  </si>
  <si>
    <t>FELHALMOZÁSI CÉLÚ BEVÉTELEK MINDÖSSZESEN</t>
  </si>
  <si>
    <t>Közvilágitás díja</t>
  </si>
  <si>
    <t>Felhalmozási célú bevételek összesen :</t>
  </si>
  <si>
    <t>Felhalmozási célú kiadások összesen :</t>
  </si>
  <si>
    <t>Kiadások és finanszírozási műveletek összesen</t>
  </si>
  <si>
    <t>Bevételek és finanszírozási műveletek összesen</t>
  </si>
  <si>
    <t>I-XII.hó</t>
  </si>
  <si>
    <t>Jelzőrendszeres házi segítségnyújtás támogatása</t>
  </si>
  <si>
    <t>Óvoda Intézményi karbantartás</t>
  </si>
  <si>
    <t>Polgármester, Alpolgármesterek, Tanácsnokok, választott képviselők és bizottsági tagok juttatásai</t>
  </si>
  <si>
    <t>Kátyúzás</t>
  </si>
  <si>
    <t>Északi iparterület fejlesztése (villamosenergia kiépítése, kerítés építése)</t>
  </si>
  <si>
    <t>Kéményseprő ipari közszolgáltatás ellátásának támogatása</t>
  </si>
  <si>
    <t>MŰKÖDÉSI CÉLÚ TÁMOGATÁSOK ÁLLAMHÁZTARTÁSON BELÜLRŐL ÖSSZESEN (a.)+b.)+c.))</t>
  </si>
  <si>
    <t>Köznevelési GAMESZ</t>
  </si>
  <si>
    <t>OKTATÁSI MŰKÖDÉSI CÉLÚ KIADÁSOK ÖSSZESEN</t>
  </si>
  <si>
    <t>OKTATÁSI FELHALMOZÁSI CÉLÚ KIADÁSOK ÖSSZESEN</t>
  </si>
  <si>
    <t>OKTATÁSI ÁGAZAT KIADÁSAI MINDÖSSZESEN</t>
  </si>
  <si>
    <t>KULTURÁLIS INTÉZMÉNYEK FELHALMOZÁSI KIADÁSAI ÖSSZESEN</t>
  </si>
  <si>
    <t>KULTURÁLIS ÁGAZAT, MÉDAI KIADÁSAI MINDÖSSZESEN</t>
  </si>
  <si>
    <t>SZOCIÁLIS MŰKÖDÉSI CÉLÚ KIADÁSOK ÖSSZESEN</t>
  </si>
  <si>
    <t>SZOCIÁLIS FELHALMOZÁSI CÉLÚ KIADÁSOK ÖSSZESEN</t>
  </si>
  <si>
    <t>SZOCIÁLIS ÁGAZAT KIADÁSAI MINDÖSSZESEN</t>
  </si>
  <si>
    <t>EGÉSZSÉGÜGYI MŰKÖDÉSI CÉLÚ KIADÁSOK ÖSSZESEN</t>
  </si>
  <si>
    <t>EGÉSZSÉGÜGYI FELHALMOZÁSI CÉLÚ KIADÁSOK ÖSSZESEN</t>
  </si>
  <si>
    <t>EGÉSZSÉGÜGYI ÁGAZAT KIADÁSAI MINDÖSSZESEN</t>
  </si>
  <si>
    <t>GYERMEKVÉDELMI MŰKÖDÉSI CÉLÚ KIADÁSOK ÖSSZESEN</t>
  </si>
  <si>
    <t>GYERMEKVÉDELMI FELHALMOZÁSI CÉLÚ KIADÁSOK ÖSSZESEN</t>
  </si>
  <si>
    <t>GYERMEKVÉDELMI ÁGAZAT KIADÁSAI MINDÖSSZESEN</t>
  </si>
  <si>
    <t>EGYÉB, MÁS ÁGAZATHOZ NEM SOROLHATÓ INTÉZMÉNYEK ÉS FELADATOK MŰKÖDÉSI CÉLÚ KIADÁSAI ÖSSZESEN</t>
  </si>
  <si>
    <t>EGYÉB, MÁS ÁGAZATHOZ NEM SOROLHATÓ INTÉZMÉNYEK ÉS FELADATOK FELHALMOZÁSI CÉLÚ KIADÁSAI ÖSSZESEN</t>
  </si>
  <si>
    <t>EGYÉB, MÁS ÁGAZATHOZ NEM SOROLHATÓ INÉTZMÉNYEK ÉS FELADATOK KIADÁSAI MINDÖSSZESEN</t>
  </si>
  <si>
    <t>Lakás és helységüzemeltetés veszteségpótlás</t>
  </si>
  <si>
    <t>KOMMUNÁLIS, VÁROSÜZEMELTETÉSI ÉS KÖRNYEZETVÉDELMI KIADÁSOK MINDÖSSZESEN</t>
  </si>
  <si>
    <t>ÚT-HÍD FENNTARTÁSI KIADÁSOK MINDÖSSZESEN</t>
  </si>
  <si>
    <t>Herényi temető bővítés, növénytelepítés</t>
  </si>
  <si>
    <t>FALCO KC Kft. Pótbefizetés</t>
  </si>
  <si>
    <t>Komplex akadálymentesítés - Helyi esélyegyenlőségi program keretében</t>
  </si>
  <si>
    <t>Hatósági díjak, egyéb kiadások, szakértői feladatok</t>
  </si>
  <si>
    <t xml:space="preserve">Gyermekvédelmi ágazat </t>
  </si>
  <si>
    <t>Egyéb más ágazathoz nem sorolható intézmények és feladatok</t>
  </si>
  <si>
    <t>Költségvetési szervek működési bevételei</t>
  </si>
  <si>
    <t>Költségvetési szervek felhalmozási bevételei</t>
  </si>
  <si>
    <t>Gyermekvédelmi ágazat</t>
  </si>
  <si>
    <t>Támogatások elszámolása - ÁH-on belül</t>
  </si>
  <si>
    <t>Támogatások elszámolása - ÁH kívülről</t>
  </si>
  <si>
    <t>Felhalmozási célú bevételek</t>
  </si>
  <si>
    <t>Vízközmű- és szennyvízközmű használati díj terhére végzett beruházás - fordított áfa</t>
  </si>
  <si>
    <t>Jedlik Ányos Terv - "A" típusú elektromos autótöltő állomások telepítése pályázat (támogatás+önrész)</t>
  </si>
  <si>
    <t>TOP-6.1.4-16-SH1-2017-00001 Képtár turisztikai célú felújítása</t>
  </si>
  <si>
    <t>6.</t>
  </si>
  <si>
    <t xml:space="preserve">7. </t>
  </si>
  <si>
    <t>Egyéb, más ágazathoz nem sorolható intézmények összesen</t>
  </si>
  <si>
    <t>"Szombathely Szent Márton városa"  Gyebrovszki János Alapítvány támogatás</t>
  </si>
  <si>
    <t>Kariatida tanulmányi támogatás rendszerének működtetése - "Szombathely Szent Márton városa" Gyebrovszki János Alapítvány</t>
  </si>
  <si>
    <t>Szombathelyi Egyházmegyei Karitász - Hársfa-ház Pszichiátriai- és Szenvedélybetegek Nappali Ellátója és Átmeneti Otthona, RÉV Szenvedélybeteg-segítő Szolgálat és Közösségi Gondozó</t>
  </si>
  <si>
    <t>Gyermekvédelmi ágazat kiadásai</t>
  </si>
  <si>
    <t>Közösségi Bérlakás Rendszer</t>
  </si>
  <si>
    <t>Egyéb lakásgazdálkodási és szociális kiadások</t>
  </si>
  <si>
    <t>Háziorvosi életpálya modell</t>
  </si>
  <si>
    <t>Bankköltség</t>
  </si>
  <si>
    <t xml:space="preserve">Közvilágítás - pénügyi lízing - kamat </t>
  </si>
  <si>
    <t>Bűnmegelőzési és katasztrófavédelmi kiadások</t>
  </si>
  <si>
    <t>Vas Megyei Katasztrófavédelmi Igazgatóság - Tűzoltóság támogatása</t>
  </si>
  <si>
    <t>ELTE támogatás</t>
  </si>
  <si>
    <t>Szent Márton plasztik kártya készítés</t>
  </si>
  <si>
    <t>Állatvédők Vasi Egyesülete és a Kutyamenhely Alapítvány által közösen működtetett állatmenhely fenntartási költségei, 1 fő alkalmazott bér és járulékainak költsége a Kutyamenhely Alapítvány részére</t>
  </si>
  <si>
    <t>Szombathelyi  Asztalitenisz Klub támogatása - asztalitenisz csarnok éves bérleti díj finanszírozására</t>
  </si>
  <si>
    <t>Szombathelyi Vívó Akadémia Egyesület támogatása - vívócsarnok éves bérleti díj finanszírozására</t>
  </si>
  <si>
    <t>Elektromos töltőállomás fenntartása (Zeneiskola)</t>
  </si>
  <si>
    <t>SZMJV Fenntartható Energia- és Klíma akcióterve (SECAP)</t>
  </si>
  <si>
    <t>Padkarendezés</t>
  </si>
  <si>
    <t>Szegélyek javítása, akadálymentesítés</t>
  </si>
  <si>
    <t xml:space="preserve">Temetők bővítéséhez területek megszerzése </t>
  </si>
  <si>
    <t>Út, járda, híd, kerékpárút, parkoló, közvilágítási építési és felújítási program, játszótér felújítások, tervezések, térfigyelő kamera rendszer fejlesztések</t>
  </si>
  <si>
    <t>Finanszírozási kiadás - közvilágítás pénzügyi lízing tőke</t>
  </si>
  <si>
    <t>Tartalék - Vásárcsarnok GDPR költség</t>
  </si>
  <si>
    <t>Önkormányzati fenntartású Weöres Sándor Színház közös működtetési támogatása</t>
  </si>
  <si>
    <t>Önkormányzati fenntartású Mesebolt Bábszínház közös működtetési támogatása</t>
  </si>
  <si>
    <t>TOP-6.2.1-19-SH1-2019-00001 Új bölcsőde építése Szombathelyen</t>
  </si>
  <si>
    <t>Köztemetés költségeinek megtérítése más önkormányzatoktól</t>
  </si>
  <si>
    <t>Hajléktalan otthon elhelyezésére vonatkozó koncepcióterv</t>
  </si>
  <si>
    <t>TOP-6.2.1-19-SH1-2019-00001 Új bölcsőde építése Szombathelyen - Hozzájárulás</t>
  </si>
  <si>
    <t xml:space="preserve">TOP-6.2.1-19-SH1-2019-00001 Új bölcsőde építése Szombathelyen </t>
  </si>
  <si>
    <t>Közösségi Bérlakás Rendszer lakbér bevétel</t>
  </si>
  <si>
    <t>TOP-7.1.1-16-HESZA-2020-01683 Haladjunk együtt a digitalizáció borostyánkő útján</t>
  </si>
  <si>
    <t>Babaköszöntő csomag</t>
  </si>
  <si>
    <t>Egyéb sportcélú kiadások, támogatások</t>
  </si>
  <si>
    <t>Cserkészház - bérleti díj támogatás - Boldogulás Ösvényein Alapítvány részére</t>
  </si>
  <si>
    <t>Tervezések hatósági díja lejáró engedélyekhez, egyéb díjak</t>
  </si>
  <si>
    <t>Előző évi maradvány terhére teljesíthető működési célú projekt kiadások</t>
  </si>
  <si>
    <t>Parkfenntartás - SZOMPARK Kft.</t>
  </si>
  <si>
    <t xml:space="preserve">Felhalmozási tartalék </t>
  </si>
  <si>
    <t>Felhalmozási tartalék összesen</t>
  </si>
  <si>
    <t>Előző évi maradvány terhére teljesíthető felhalmozási célú projekt kiadások</t>
  </si>
  <si>
    <t xml:space="preserve">Ernuszt kripta felújításához felmérés és értékeltár készítés </t>
  </si>
  <si>
    <t>Önkormányzati nagyrendezvények</t>
  </si>
  <si>
    <t>Sport nagyrendezvények</t>
  </si>
  <si>
    <t>ELTE támogatás és gazdaságfejlesztés</t>
  </si>
  <si>
    <t>Önkormányzat egyéb kiadásai (Városüzemeltetési, vagyongazdálkodási
 kiadások)</t>
  </si>
  <si>
    <t>III. Települési önkormányzatok egyes szociális és gyermekjóléti feladatainak támogatás</t>
  </si>
  <si>
    <t>IV. Települési önkormányzatok gyermekétkeztetési feladatainak támogatása</t>
  </si>
  <si>
    <t>V. Települési önkormányzatok kulturális feladatainak támogatása</t>
  </si>
  <si>
    <t>Zeneművészeti szervek támogatása - Savaria Szimfónikus zenekar központi támogatása</t>
  </si>
  <si>
    <t>Óvodai és iskolai szociális segítő tevékenység támogatása</t>
  </si>
  <si>
    <t>Savaria Városfejlesztési Kft. - tagi kölcsön visszatérülése</t>
  </si>
  <si>
    <t>Savaria Múzeum 2020. évi maradványból fedezett kiadás</t>
  </si>
  <si>
    <t>TOP-7.1.1-16-H-ERFA-2020-00750 A 11-es Huszár úti lakótelepen lévő közpark közösségi célú fejlesztése</t>
  </si>
  <si>
    <t>TOP-7.1.1-16-H-ERFA-2020-00749 Közösségi terek sportfunkciókkal való bővítése</t>
  </si>
  <si>
    <t>TOP-7.1.1-16-H-ERFA-2020-00780 A Szedreskert szabadtéri közösségi rendezvénytérré fejlesztése</t>
  </si>
  <si>
    <t>TOP-7.1.1-16-H-ERFA-2020-00781 A gyöngyösszőlősi klubház fejlesztése</t>
  </si>
  <si>
    <t>TOP-7.1.1-16-H-ERFA-2020-00792 A Zarkaházi Szily-kastély fejlesztése a gyöngyöshermán-szentkirályi közösség számára</t>
  </si>
  <si>
    <t>TOP-7.1.1-16-H-ERFA-2020-00783 Játszóterek fejlesztése</t>
  </si>
  <si>
    <t>TOP-7.1.1-16-H-ERFA-2020-00750 A 11-es Huszár úti lakótelepen lévő közpark közösségi célú fejlesztése - hozzájárulás</t>
  </si>
  <si>
    <t>TOP-7.1.1-16-H-ERFA-2020-00749 Közösségi terek sportfunkciókkal való bővítése - hozzájárulás</t>
  </si>
  <si>
    <t>TOP-7.1.1-16-H-ERFA-2020-00780 A Szedreskert szabadtéri közösségi rendezvénytérré fejlesztése - hozzájárulás</t>
  </si>
  <si>
    <t>TOP-7.1.1-16-H-ERFA-2020-00781 A gyöngyösszőlősi klubház fejlesztése - hozzájárulás</t>
  </si>
  <si>
    <t>TOP-7.1.1-16-H-ERFA-2020-00792 A Zarkaházi Szily-kastély fejlesztése a gyöngyöshermán-szentkirályi közösség számára - hozzájárulás</t>
  </si>
  <si>
    <t>TOP-7.1.1-16-H-ERFA-2020-00783 Játszóterek fejlesztése - hozzájárulás</t>
  </si>
  <si>
    <t>TOP-6.4.1-15 2019-00003 Szombathely-Vép településeket összekötő kerékpárút megépítése</t>
  </si>
  <si>
    <t>TOP-6.4.1-15 2019-00003 Szhely-Vép településeket összekötő kerékpárút megépítése - hozzájárulása</t>
  </si>
  <si>
    <t>TOP-6.4.1-2019-00004 Szombathely és Balogunyom településeket összekötő kerékpárút megépítése</t>
  </si>
  <si>
    <t>TOP-6.4.1-2019-00004 Szhely és Balogunyom településeket összekötő kerékpárút megépítése - hozzájárulás</t>
  </si>
  <si>
    <t>TOP-6.2.1-19-SH1-2019-00001 Új bölcsőde építése Szombathelyen - fordított áfa</t>
  </si>
  <si>
    <t>TOP-6.2.1-19-SH1-2019-00001 Új bölcsőde építése Szombathelyen - Hozzájárulás - fordított áfa</t>
  </si>
  <si>
    <t xml:space="preserve">KISZ Lakótelepért Egyesület </t>
  </si>
  <si>
    <t>Szombathelyi Siker Könyvtár Alapítvány támogatása</t>
  </si>
  <si>
    <t>Savaria Történelmi Karnevál Közhasznú Közalapítvány működési támogatása</t>
  </si>
  <si>
    <t>ÖSSZESEN (I.+II.+III.+IV.+V.)</t>
  </si>
  <si>
    <t>Helyi önkormányzatok kiegészítő támogatásai</t>
  </si>
  <si>
    <t>Megyei hatókörű városi könyvtárak feladatainak támogatása - Berzsenyi Dániel könyvtár feladatainak támogatása</t>
  </si>
  <si>
    <t>Helyi önkormányzatok kiegészítő támogatásai összesen</t>
  </si>
  <si>
    <t>Bursa Hungarica felsőoktatási ösztöndíj</t>
  </si>
  <si>
    <t>Fogyatékkal Élőket és Hajléktalanokat ellátó Nkft. Támogatása</t>
  </si>
  <si>
    <t>VOLÁNBUSZ Zrt.megállapodás alapján helyközi autóbuszjáratok helyi tarifával történő igénybevétele - Szombathely Petőfi telep</t>
  </si>
  <si>
    <t>TOP-7.1.1-16-H-ERFA-00825 Tószer téri sportpálya közösségi célú fejlesztése</t>
  </si>
  <si>
    <t>TOP-7.1.1-16-H-ERFA-00825 Tószer téri sportpálya közösségi célú fejlesztése - hozzájárulás</t>
  </si>
  <si>
    <t>Vak Bottyán u. 2.sz. alatti ingatlan vásárlás (Brenner villa)</t>
  </si>
  <si>
    <t>Vak Bottyán u. 2.sz. alatti ingatlan vásárlás (Brenner villa) - fordított áfa</t>
  </si>
  <si>
    <t>TOP-7.1.1-16-H-ERFA-2020-00782 Belvárosi közösségi tér fejlesztése</t>
  </si>
  <si>
    <t>TOP-7.1.1-16-H-ERFA-2020-00782 Belvárosi közösségi tér fejlesztése - hozzájárulás</t>
  </si>
  <si>
    <t>EMMI - EMT-TE-B-A-21 Tér-Zene 2021 projekt</t>
  </si>
  <si>
    <t>Biztosító térítése egyéb kártérítés, kötbér</t>
  </si>
  <si>
    <t>Vasutas Települések Szövetsége támogatás</t>
  </si>
  <si>
    <t>Nyugdíjba vonuló vezetők ped. Szolg. emlékérme és juttatása</t>
  </si>
  <si>
    <t>Szombathelyi Képző Központ Nonprofit Kft. Támogatása</t>
  </si>
  <si>
    <t>TOP-7.1.1-ESZA-02011 DIGIT-AGORA okos város, okos közösségek</t>
  </si>
  <si>
    <t>Szent Márton Smartcity város és portálrendszer üzemeltetése</t>
  </si>
  <si>
    <t>Fa ültetés</t>
  </si>
  <si>
    <t>Klímapolitikai és fenntarthatósági kiadások</t>
  </si>
  <si>
    <t>ITM támogatás - Zanati kerékpárút fejlesztése</t>
  </si>
  <si>
    <t>Szombathelyi Evangélikus Diakónia Központ  támogatása - hajléktalan és idősotthoni ellátás biztosítását szolgáló fejlesztés támogatása</t>
  </si>
  <si>
    <t>Ipari park tudományos technológiai parkká minősítés</t>
  </si>
  <si>
    <t>CLLD projektek önerő</t>
  </si>
  <si>
    <t>JUSTNature projekt</t>
  </si>
  <si>
    <t>Egyéb finanszírozási célú bevétel a 2022. évi költségvetési támogatási előleghez</t>
  </si>
  <si>
    <t>Egyéb finanszírozási célú kiadás - 2022.évi költségvetési támogatási előleg</t>
  </si>
  <si>
    <t>Népszámlálás támogatása (KSH-tól)</t>
  </si>
  <si>
    <t>Agora Szombathelyi Kulturális Központ megszűnés miatt átvett pénzeszköz</t>
  </si>
  <si>
    <t>Szociális és köznevelési intézmények év végi karácsonyi ajándékozás és rászoruló kiskorú gyermekeket nevelő családok év végi karácsonyi ajándékozása</t>
  </si>
  <si>
    <t>"Legjobb Önkormányzati Gyakorlat Programja 2021"</t>
  </si>
  <si>
    <t>Szombathelyi Haladás Labdarúgó és Sporszolgátlató Kft tőkeemelés</t>
  </si>
  <si>
    <t>Szombathelyi Neumann J.Ált.Isk.területén 3 db műfüves labdarúgó pálya éves karbantartás</t>
  </si>
  <si>
    <t>Szentkirály Gyöngyös patak híd felújítása miatti mentesítő út kialakítása</t>
  </si>
  <si>
    <t>PRENOR Kft. által bérelt önk.tulajdonban lévő ingatlan felújítása</t>
  </si>
  <si>
    <t>TOP-6.4.1-2019-00004 Szombathely és Balogunyom településeket összekötő kerékpárút megépítése - fordított áfa</t>
  </si>
  <si>
    <t>Könyvtári érdekeltségnövelő támogatás</t>
  </si>
  <si>
    <t>AGORA Szombathelyi Kulturális Központ  megszünés miatt átvett pénzeszköz</t>
  </si>
  <si>
    <t>Termőföld bérbeadásából származó jövedelemadó</t>
  </si>
  <si>
    <t>Kéményseprő ipari közszolgáltatási támogatás visszafizetése</t>
  </si>
  <si>
    <t>KÖLTSÉGVETÉSI MŰKÖDÉSI BEVÉTELEK MINDÖSSZESEN</t>
  </si>
  <si>
    <t>Városi nagyrendezvények</t>
  </si>
  <si>
    <t>Egyéb támogatások, egyéb kiadások</t>
  </si>
  <si>
    <t>TOP-6.4.1-2019-00002 Szombathely fenntartható mobilitási tervének elkészítése</t>
  </si>
  <si>
    <t>TOP-6.4.1-2019-00002 Szombathely fenntartható mobilitási tervének elkészítése - hozzájárulás</t>
  </si>
  <si>
    <t>Szombathelyi Sportközpont és Sportiskola Nonprofit Kft. támogatása</t>
  </si>
  <si>
    <t>TOP-6.3.3-15 Szombathely bel- és csapadékvíz védelmi rendszer fejlesztése</t>
  </si>
  <si>
    <t>vagyongazdálkodási kiadások (ingatlan kisajátítás, vásárlás) fordított áfa kiadás</t>
  </si>
  <si>
    <t>TOP-6.4.1-15 2019-00003 Szombathely-Vép településeket összekötő kerékpárút megépítése - fordított áfa kiadás</t>
  </si>
  <si>
    <t>TOP-6.1.5-2019-00002 Ferenczy u. hiányzó szakaszának építése</t>
  </si>
  <si>
    <t>TOP-6.1.5-2019-00002 Ferenczy u. hiányzó szakaszának építése - fordított áfa</t>
  </si>
  <si>
    <t>2022.évi</t>
  </si>
  <si>
    <t>2022. évi</t>
  </si>
  <si>
    <t>Tartalék - gyermek és szociális étkeztetés</t>
  </si>
  <si>
    <t>Települési önkormányzatok kulturális feladatainak támogatása</t>
  </si>
  <si>
    <t>Települési önkormányzatok kulturális feladatainak támogatási összesen</t>
  </si>
  <si>
    <t>Hemo épületének bérbeadása</t>
  </si>
  <si>
    <t>Vas megyei Szakképzpsi Centrum működési hozzájárulás</t>
  </si>
  <si>
    <t>Köznevelési feladatellátásra átadott vagyon ellenőrzése</t>
  </si>
  <si>
    <t>Óvodai ellátó rendszerben prognotizált munkaerő-hiány kezelése</t>
  </si>
  <si>
    <t>Egyéb rendezvények, programok</t>
  </si>
  <si>
    <t>Egyéb rendezvények, programok összesen</t>
  </si>
  <si>
    <t>Egyéb kulturális rendezvények</t>
  </si>
  <si>
    <t>Aktív időskor Szombathelyen program</t>
  </si>
  <si>
    <t>Savaria táncverseny</t>
  </si>
  <si>
    <t>AGORA Savaria Kulturális és Médiaközpont Nonprofit Kft.</t>
  </si>
  <si>
    <t>Vásárcsarnok önkormányzati támogatásból fedezett kiadás</t>
  </si>
  <si>
    <t>Vásárcsarnok saját bevételből fedezett kiadás</t>
  </si>
  <si>
    <t>Vásárcsarnok összesen</t>
  </si>
  <si>
    <t>Nemzetközi kapcsolatok</t>
  </si>
  <si>
    <t>Horvát nemzetiségi nap támogatása</t>
  </si>
  <si>
    <t>Szombathely 2030 fejlesztési programhoz kapcsolódó kiadások</t>
  </si>
  <si>
    <t>Közszolgáltatási szerződés hely közlekedés</t>
  </si>
  <si>
    <t>Országgyűlési képviselő választás és népszavazás költségei</t>
  </si>
  <si>
    <t>Tüzoltó nap - "Tüzoltás-mentés" Alapítvány támogatása</t>
  </si>
  <si>
    <t>Szemünk fénye program - bérleti díj</t>
  </si>
  <si>
    <t>Önkormányzati intézmények fűtéskorszerűsítés - bérleti díj</t>
  </si>
  <si>
    <t>Akadálymentesítési koncepció - szakmérnöki vélemények</t>
  </si>
  <si>
    <t>VASIVÍZ ZRT. - Uszoda fenntartás</t>
  </si>
  <si>
    <t>Citylight hirdetőtáblák karbantartása, javítása</t>
  </si>
  <si>
    <t>Vásárok, rendezvények, karácsonyi díszkivilágítás</t>
  </si>
  <si>
    <t>Állatvédők Vasi Egyesülete működési támogatás</t>
  </si>
  <si>
    <t>Szombathelyi Haladás Labdarúgó és Sportszolgáltató Kft.</t>
  </si>
  <si>
    <t>Nemzetközi Diákjátékok</t>
  </si>
  <si>
    <t>Szombathelyi Sportközpont és Sortiskola Nkft. - Horvát Óvoda és Általános iskola tornacsarnok felújításához önerő biztosítása</t>
  </si>
  <si>
    <t>Vásárcsarnok - légkondicionálás</t>
  </si>
  <si>
    <t>Jégpince utca és a Bartók B. körút körforgalom</t>
  </si>
  <si>
    <t>Körforgalom (Markusovszky u. - Sugár u. - Horváth Boldizsár krt. - Dr. István Lajos krt.) tervezési költsége</t>
  </si>
  <si>
    <t>Analóg térfigyelő kamerák cseréje</t>
  </si>
  <si>
    <t>Közterületi háttértár fejlesztés</t>
  </si>
  <si>
    <t>Központi önkormányzati adattároló cseréje</t>
  </si>
  <si>
    <t>PRENOR Kft - tagi kölcsön visszatérülése</t>
  </si>
  <si>
    <t>Továbbszámlázott költségek megtérítése</t>
  </si>
  <si>
    <t>Jelzőtáblák értékesítése</t>
  </si>
  <si>
    <t>TOP-6.1.5-2019-00002 Ferenczy u. hiányzó szakaszának építése - hozzájárulás</t>
  </si>
  <si>
    <t>Fáklyavivők Egyesülete támogatás - Alkotótábor megrendezése</t>
  </si>
  <si>
    <t>Okos Zebrák kiépítése</t>
  </si>
  <si>
    <t>Tartalék - VOLÁNBUSZ elszámolás</t>
  </si>
  <si>
    <t>Tartalék - iparűzési adóelőleg visszafizetés</t>
  </si>
  <si>
    <t>Tartalék - energia árak növekedése miatt képzett tartalék</t>
  </si>
  <si>
    <t>Veszélyhelyzet ideje alatt a szomszédos országban fennálló humanitárius katasztrófára tekintettel érkező személyek elhelyezésének támogatása</t>
  </si>
  <si>
    <t>Szombathelyi Neumann J.Ált.Isk.területén 3 db műfüves labdarúgó pálya éves karbantartási, továbbszámlázott költségének megtérítése</t>
  </si>
  <si>
    <t>Vásárokhoz kapcsolódó közterület foglalási díjbevétel</t>
  </si>
  <si>
    <t>iSi Automotive Hungary Kft. támogatása a 3H jelű autóbusz járat működtetéséhez</t>
  </si>
  <si>
    <t>Aptiv Services Hungary Kft. támogatása okos zebrák kiépítéséhez</t>
  </si>
  <si>
    <t>Walclaw Felczak Alapítvány Dwa Bratanki pályázat</t>
  </si>
  <si>
    <t>Veszélyhelyzet ideje alatt a szomszédos országban fennálló humanitárius katasztrófára tekintettel érkező személyek elhelyezésének támogatása (központi támogatásból)</t>
  </si>
  <si>
    <t>Önkéntes Stratégia Végrehajtása</t>
  </si>
  <si>
    <t>Fenntarthatósági és Klímapolitikai célok megvalósulása</t>
  </si>
  <si>
    <t>RRF-1.1.2-21-2021-0007 Demográfiai és köznevelési bölcsődei nevelés fejlesztése - Új bölcsőde építése Szombathely Szentkirályi városrészen</t>
  </si>
  <si>
    <t>Szombathelyi Nemzetiségi Nap</t>
  </si>
  <si>
    <t>Bűnmegelőzési és katasztrófavédelmi kiadások; egyéb kiadások, támogatások</t>
  </si>
  <si>
    <t>Településrendezési terv felülvizsgálata</t>
  </si>
  <si>
    <t>Játszótér felújítások</t>
  </si>
  <si>
    <t>Stromfeld lakótelepen parkoló építése</t>
  </si>
  <si>
    <t>Erdeiiskola utcai csapadékcsatorna építése</t>
  </si>
  <si>
    <t>BM támogatás - belterületi útfejlesztések, Göngyöspatak hídrekonstrukció, vásárcsarnok környékének rekonstrukciója, kapcsolódó parkolók kialakítása, Víztorony és környezetének fejlesztése II.ütem</t>
  </si>
  <si>
    <t>BM támogatás - belterületi útfejlesztések, Göngyöspatak hídrekonstrukció, vásárcsarnok környékének rekonstrukciója, kapcsolódó parkolók kialakítása, Víztorony és környezetének fejlesztése II.ütem - fordított áfa kiadás</t>
  </si>
  <si>
    <t>BM támogatás - belterületi útfejlesztések, Göngyöspatak hídrekonstrukció, vásárcsarnok környékének rekonstrukciója, kapcsolódó parkolók kialakítása, Víztorony és környezetének fejlesztése II.ütem - hozzájárulás</t>
  </si>
  <si>
    <t>ITM támogatás - Zanati kerékpárút fejlesztése - fordított áfa</t>
  </si>
  <si>
    <t>Költségvetési itézmények informatikai fejlesztése</t>
  </si>
  <si>
    <t>Projektek - önerő, hozzájárulás, előkészítés</t>
  </si>
  <si>
    <t>Projektek-önerő hozzájárulás</t>
  </si>
  <si>
    <t>Szombathelyi Szabadidősport rendezvények</t>
  </si>
  <si>
    <t>PRENOR Kft. tagi kölcsön utáni kamatbevétel</t>
  </si>
  <si>
    <t>FALCO KC Kft. Támogatása</t>
  </si>
  <si>
    <t>Önkormányzati sport kitüntetések</t>
  </si>
  <si>
    <t>Szombathelyi Pingvinek Jégkorong Klub támogatása</t>
  </si>
  <si>
    <t>Egyéb kulturális rendezvények - fordított áfa</t>
  </si>
  <si>
    <t>Dobó SE támogatása</t>
  </si>
  <si>
    <t>ITM támogatás - Zanati kerékpárút fejlesztése - hozzájárulás</t>
  </si>
  <si>
    <t>Csapadékvíz elvezetés (üzemeltetés)</t>
  </si>
  <si>
    <t>TOP-6.1.5-2019-00002 Ferenczy u. hiányzó szakaszának építése projekhez kapcsolódóan támogatás visszafizetése</t>
  </si>
  <si>
    <t>TOP-6.4.1-15 2019-00003 Szombathely-Vép településeket összekötő kerékpárút megépítése projekhez kapcsolódóan támogatás visszafizetése</t>
  </si>
  <si>
    <t>TOP-6.4.1-2019-00004 Szhely és Balogunyom településeket összekötő kerékpárút megépítése projekhez kapcsolódóan támogatás visszafizetése</t>
  </si>
  <si>
    <t>Bloomsday 2022 támogatása</t>
  </si>
  <si>
    <t>Árfolyam nyereség - JUSTNATURE projekt</t>
  </si>
  <si>
    <t>VEF-2019-48 Víziközművek Energiahatékonyságának fejl.-VASIVÍZ Zrt.</t>
  </si>
  <si>
    <t>Európai Városi Létesítmények (European City Facility) pályázat</t>
  </si>
  <si>
    <t>Savaria Karnevál megrendezése, kulturális rendezvények, fesztiválok megrendezése (Savaria Turizmus Nkft., egyéb kiadások, stb.)</t>
  </si>
  <si>
    <t>Savaria Turizmus Nonprofit Kft - működési támogatása és pályázati önrész</t>
  </si>
  <si>
    <t>VOLÁNBUSZ  Zrt. - 2021. évi helyi közösségi közlekedés költségtérítésének elszámolása</t>
  </si>
  <si>
    <t>Szombathelyi Szabadidősport Szövetség támogatása - Városi Kispályás Labdarúgó Bajnokság, Városi Tekebajnokság, nyári lábtenisz bajnokság</t>
  </si>
  <si>
    <t>Zanati városrész útjainak felújításához (Áfonya u., Eper u., Korpás u., Fenyő u.) pénzeszközátadás és ingatlan kisajátítás kiadása</t>
  </si>
  <si>
    <t xml:space="preserve">Söpte Önkormányzatának járó juttatás SZMJV önkormányzati terület értékesítés után </t>
  </si>
  <si>
    <t>AGORA Szombathelyi Kulturális Központ  megszünés miatt áthúzódó bevételek</t>
  </si>
  <si>
    <t>Áfa visszaigénylés - BM támogatott projektekhez kapcsolódóan</t>
  </si>
  <si>
    <t>Szombathelyi Sportközpont és Sportiskola Nonprofit Kft. tagi kölcsön visszatérülés</t>
  </si>
  <si>
    <t>SZOMPARK Kft. tagi kölcsön visszatérülés</t>
  </si>
  <si>
    <t>Rászorult személyek és családok pénzbeli vagy természetbeni támogatása -Magyar Máltai Szeretetszolgálat Szombathelyi Csoport támogatása</t>
  </si>
  <si>
    <t>Rászorult személyek és családok pénzbeli vagy természetbeni támogatása -"Szombathely Szent Márton városa" Gyebrovszki János Alapítvány támogatása</t>
  </si>
  <si>
    <t>Rászorult személyek és családok pénzbeli vagy természetbeni támogatása -Szociális Szolgáltatók Közhasznú Egyesülete támogatás</t>
  </si>
  <si>
    <t>Fogyatékkal Élőket és Hajléktalanokat Ellátó Nkft. támogatása (célja: tüzifa vásárlás)</t>
  </si>
  <si>
    <t>Apáczai Waldorf Általános Iskola és Alapfokú Művészeti Iskola tám.</t>
  </si>
  <si>
    <t>Szombathelyi Sportközpont és Sportiskola Nonprofit Kft. tagi kölcsön nyújtása</t>
  </si>
  <si>
    <t>SZOMPARK Kft. tagi kölcsön nyújtása</t>
  </si>
  <si>
    <t>TOP-6.4.1-2019-00002 Szombathely fenntartható mobilitási tervének elkészítése - támogatás visszafizetése</t>
  </si>
  <si>
    <t>BM támogatás - belterületi útfejlesztések, Göngyöspatak hídrekonstrukció, vásárcsarnok környékének rekonstrukciója, kapcsolódó parkolók kialakítása, Víztorony és környezetének fejlesztése II.ütem - hozzájárulás fordított áfa kiadása</t>
  </si>
  <si>
    <t>ITM támogatás - Zanati kerékpárút fejlesztése - hozzájárulás fordított áfa kiadás</t>
  </si>
  <si>
    <t>Északi iparterület - közművesítések finanszírozása, fejlesztések finanszírozása, tanulmányterv készítése</t>
  </si>
  <si>
    <t>Országos tan.versenyeken eredményesen szereplő diákok és tanáraik  jutalmazása</t>
  </si>
  <si>
    <t>Szombathelyi Sportközpont és Sportiskola Nonprofit Kft. támogatása - Aréna Savaria Sportcsarnok tetőszerkezetének felújítása</t>
  </si>
  <si>
    <t>Fadrusz János Utcai Úttársaság részére</t>
  </si>
  <si>
    <r>
      <t>Weöres Sándor Színház Nonprofit Kft.</t>
    </r>
    <r>
      <rPr>
        <b/>
        <i/>
        <sz val="11"/>
        <rFont val="Calibri"/>
        <family val="2"/>
        <charset val="238"/>
        <scheme val="minor"/>
      </rPr>
      <t xml:space="preserve"> önkormányzati támogatása</t>
    </r>
  </si>
  <si>
    <r>
      <t>Szombathelyi Egészségügyi és Kulturális Intézmények GESZ</t>
    </r>
    <r>
      <rPr>
        <b/>
        <sz val="11"/>
        <rFont val="Calibri"/>
        <family val="2"/>
        <charset val="238"/>
        <scheme val="minor"/>
      </rPr>
      <t xml:space="preserve"> </t>
    </r>
    <r>
      <rPr>
        <b/>
        <i/>
        <sz val="11"/>
        <rFont val="Calibri"/>
        <family val="2"/>
        <charset val="238"/>
        <scheme val="minor"/>
      </rPr>
      <t>önkormányzati támogatásból fedezett kiadás</t>
    </r>
  </si>
  <si>
    <r>
      <t xml:space="preserve">Szombathelyi Egészségügyi és Kulturális Intézmények GESZ </t>
    </r>
    <r>
      <rPr>
        <b/>
        <i/>
        <sz val="11"/>
        <rFont val="Calibri"/>
        <family val="2"/>
        <charset val="238"/>
        <scheme val="minor"/>
      </rPr>
      <t>saját bevételéből és NEAK támogatásból fedezett kiadás</t>
    </r>
  </si>
  <si>
    <r>
      <t xml:space="preserve">Szombathelyi Egészségügyi és Kulturális Intézmények GESZ  </t>
    </r>
    <r>
      <rPr>
        <b/>
        <i/>
        <sz val="11"/>
        <rFont val="Calibri"/>
        <family val="2"/>
        <charset val="238"/>
        <scheme val="minor"/>
      </rPr>
      <t>2020. évi maradványból fedezett kiadás</t>
    </r>
  </si>
  <si>
    <r>
      <t xml:space="preserve">Szombathelyi Egészségügyi és Kulturális Intézmények  GESZ </t>
    </r>
    <r>
      <rPr>
        <b/>
        <i/>
        <sz val="11"/>
        <rFont val="Calibri"/>
        <family val="2"/>
        <charset val="238"/>
        <scheme val="minor"/>
      </rPr>
      <t>2020. évi maradványából fedezett kiadás</t>
    </r>
  </si>
  <si>
    <t>Adventi vásár 2022. díszvilágítás támogatása</t>
  </si>
  <si>
    <t>Savaria Szimfónikus Zenekar</t>
  </si>
  <si>
    <t>NEM ÖNKORMÁNYZATI KULTURÁLIS ÉS CIVIL SZERVEZETEK TÁMOGATÁSA ÖSSZESEN</t>
  </si>
  <si>
    <t>Támogatás kulturális pályázatokhoz, egyéb szervezetek, társaságok támogatása összesen</t>
  </si>
  <si>
    <t xml:space="preserve">Savaria Szimfonikus Zenekar </t>
  </si>
  <si>
    <t>Berzsenyi Dániel Könyvtár</t>
  </si>
  <si>
    <t>Elektromos rollerek költséghozzájárulás</t>
  </si>
  <si>
    <t>Egyedi önkormányzati informatikai fejlesztések</t>
  </si>
  <si>
    <t>ELAMEN Zrt. részére támogatás biztosítása (rendkívüli rezsitámogatás)</t>
  </si>
  <si>
    <t>Szombathelyért Közalapítványért tagi kölcsön visszatérülése</t>
  </si>
  <si>
    <t>Egyéb finanszírozási célú bevétel a 2023. évi költségvetési támogatási előleghez</t>
  </si>
  <si>
    <t>Honvédelmi  Minisztérium Uszoda 2022. évi költségeihez</t>
  </si>
  <si>
    <t>VASIVÍZ ZRT. - Uszoda fenntartás - központi támogatásból</t>
  </si>
  <si>
    <t>Hunyadi, Szőlős Szent Gellért körforgalom felújítása</t>
  </si>
  <si>
    <t>Tartalék - 2023. évi költségvetéshez</t>
  </si>
  <si>
    <t>TOP-7.1.1-16-H-ERFA-2020-00781 A gyöngyösszőlősi klubház fejlesztése - fordított áfa</t>
  </si>
  <si>
    <t>TOP-7.1.1-16-H-ERFA-2020-00781 A gyöngyösszőlősi klubház fejlesztése - hozzájárulás - fordított áfa</t>
  </si>
  <si>
    <t>TOP-7.1.1-16-H-ERFA-2020-00782 Belvárosi közösségi tér fejlesztése -fordított áfa</t>
  </si>
  <si>
    <t>TOP-7.1.1-16-H-ERFA-2020-00782 Belvárosi közösségi tér fejlesztése - hozzájárulás -fordított áfa</t>
  </si>
  <si>
    <t>Brenner T.krt Körmendi u. körforgalom felújítása</t>
  </si>
  <si>
    <t>Vörösmarty , Szent Márton , Hunyadi csomópont felújítása</t>
  </si>
  <si>
    <t xml:space="preserve">Körforgalom (Markusovszky u. - Sugár u. - Horváth Boldizsár krt. - Dr. István Lajos krt.) </t>
  </si>
  <si>
    <t>2023. év</t>
  </si>
  <si>
    <t>Pénzeszközök változásának bemutatása</t>
  </si>
  <si>
    <t>Nyitó pénzkészlet</t>
  </si>
  <si>
    <t>+ Bevételek 1.sz.melléklet szerinti összege</t>
  </si>
  <si>
    <t>+-Sajátos elszámolások</t>
  </si>
  <si>
    <t>+Egyéb pénzeszközök és sajátos elszámolások mérlegfordulónapi értékelése során megállapított (nem realizált) árfolyamnyeresége (9352)</t>
  </si>
  <si>
    <t>- Kiadások 1.sz.melléklet szerinti összege</t>
  </si>
  <si>
    <t>Záró pénzkészlet</t>
  </si>
  <si>
    <t>Ebből</t>
  </si>
  <si>
    <t xml:space="preserve">   - intézmények</t>
  </si>
  <si>
    <t xml:space="preserve">   - önkormányzat</t>
  </si>
  <si>
    <t>TÁJÉKOZTATÓ</t>
  </si>
  <si>
    <t>Szombathely Megyei Jogú Város Önkormányzata</t>
  </si>
  <si>
    <t>Sorszám</t>
  </si>
  <si>
    <t>Összesen</t>
  </si>
  <si>
    <t>ellátottak térítési díjának, illetve kártérítésének méltányossági alapon történő elengedésének összege</t>
  </si>
  <si>
    <t>lakosság részére lakásépítéshez, lakásfelújításhoz nyújtott kölcsönök elengedésének összege</t>
  </si>
  <si>
    <t>Helyi adónál, gépjárműadónál biztosított kedvezmény mentesség
összege adónemenként</t>
  </si>
  <si>
    <t xml:space="preserve">  - építményadó elengedés méltányosságból</t>
  </si>
  <si>
    <t xml:space="preserve">  - gépjárműadó elengedés méltányosságból</t>
  </si>
  <si>
    <t xml:space="preserve">  - talajterhelési díj elengedés méltányosságból</t>
  </si>
  <si>
    <t xml:space="preserve">  - helyi iparűzési adómentesség</t>
  </si>
  <si>
    <t xml:space="preserve">  - helyi iparűzési adó elengedés méltányosságból</t>
  </si>
  <si>
    <t>helyiségek eszközök hasznosításából származó bevételből nyújott
kedvezmény, mentesség összeg</t>
  </si>
  <si>
    <t>egyéb nyújtott kedvezmény vagy kölcsön elengedésének összege:</t>
  </si>
  <si>
    <t>Mindösszen</t>
  </si>
  <si>
    <t>SZÖVEGES INDOKLÁS</t>
  </si>
  <si>
    <t>1. Az ÁHT-ra való hivatkozással, a személyes gondoskodást nyújtó szociális és gyermekjóléti ellátások térítési díjáról szóló   11/1993. (VI.I.) sz. önkormányzati rendelet alapján a térítési díj méltányossági alapon történő csökkentése, illetve elengedése.</t>
  </si>
  <si>
    <t>3. SZMJV Önkormányzatának helyi adókról szóló rendelete alapján adott mentességek és kedvezmények.</t>
  </si>
  <si>
    <t>4. SZMJV Önkormányzatának vagyonrendelet alapján nyújtott kedvezmények, mentességek összege.</t>
  </si>
  <si>
    <t>5. Közterülethasználati díj mentesség az Önkormányzat rendelete alapján.</t>
  </si>
  <si>
    <t>Kimutatás az Európai Unios támogatással megvalósuló projektek</t>
  </si>
  <si>
    <t>BEVÉTELEK</t>
  </si>
  <si>
    <t>Működés</t>
  </si>
  <si>
    <t>Fejlesztés</t>
  </si>
  <si>
    <t>BEVÉTELEK ÖSSZESEN</t>
  </si>
  <si>
    <t>KIADÁSOK</t>
  </si>
  <si>
    <t>Egyéb más ágazathoz nem sorolható intézmények és feladatok kiadásai</t>
  </si>
  <si>
    <t>KIADÁSOK ÖSSZESEN</t>
  </si>
  <si>
    <t>2021.</t>
  </si>
  <si>
    <t>2022.</t>
  </si>
  <si>
    <t>2023.</t>
  </si>
  <si>
    <t>2024.</t>
  </si>
  <si>
    <t>Vagyongazdálkodási kiadások (ingatlan kisajátítás, vásárlás)</t>
  </si>
  <si>
    <t>Évközi tervezések, útfelújítás tervezések, egyéb tervezések</t>
  </si>
  <si>
    <t>Beruházások Összesen:</t>
  </si>
  <si>
    <t>Projektek - önerő, hozzájárulás</t>
  </si>
  <si>
    <t>Mindösszesen</t>
  </si>
  <si>
    <t>Szöveges indoklás:</t>
  </si>
  <si>
    <t xml:space="preserve">A többéves kihatással járó költségvetési tételek egyrészt Szombathely Megyei Jogú Város közgyűlésének </t>
  </si>
  <si>
    <t>közgyűlési döntések alapján kerültek beépítésre.</t>
  </si>
  <si>
    <t>ESZKÖZÖK</t>
  </si>
  <si>
    <t xml:space="preserve">2021. </t>
  </si>
  <si>
    <t>zárómérleg</t>
  </si>
  <si>
    <t>2021.12.31</t>
  </si>
  <si>
    <t>Vagyoni értékű jogok</t>
  </si>
  <si>
    <t>intézmények</t>
  </si>
  <si>
    <t>önkormányzat</t>
  </si>
  <si>
    <t>A/I/1.</t>
  </si>
  <si>
    <t>együtt</t>
  </si>
  <si>
    <t>Szellemi termékek</t>
  </si>
  <si>
    <t>A/I/2.</t>
  </si>
  <si>
    <t>Immateriális javak össz.</t>
  </si>
  <si>
    <t>A/I.</t>
  </si>
  <si>
    <t>Immateriális javak összesen</t>
  </si>
  <si>
    <t>Ingatlanok és kapcsolódó vagyoni értékű jogok</t>
  </si>
  <si>
    <t>A/II/1.</t>
  </si>
  <si>
    <t>Ingatlanok</t>
  </si>
  <si>
    <t>Gépek, berendezések, felszerelések, járművek</t>
  </si>
  <si>
    <t>A/II/2</t>
  </si>
  <si>
    <t>Tenyészállatok</t>
  </si>
  <si>
    <t>A/II/3.</t>
  </si>
  <si>
    <t>Beruházások, felújítások</t>
  </si>
  <si>
    <t>A/II/4</t>
  </si>
  <si>
    <t>Tárgyi eszközök össz.</t>
  </si>
  <si>
    <t>A/II.</t>
  </si>
  <si>
    <t>Tartós részesedések</t>
  </si>
  <si>
    <t>A/III/1</t>
  </si>
  <si>
    <t xml:space="preserve">Tartós részesedések </t>
  </si>
  <si>
    <t>Tartós hitelviszonyt megtestesítő értékpapírok</t>
  </si>
  <si>
    <t>A/III/2.</t>
  </si>
  <si>
    <t>Befektetett pénzügyi eszk.összesen</t>
  </si>
  <si>
    <t>A/III.</t>
  </si>
  <si>
    <t>Koncesszióban, Vagyonkezelésbe adott eszközök</t>
  </si>
  <si>
    <t xml:space="preserve">A/IV. </t>
  </si>
  <si>
    <t>Koncesszióba, vagyonkezelésbe adott eszközök összesen</t>
  </si>
  <si>
    <t>Nemzeti Vagyonba tartozó Befektetett Eszközök összesen</t>
  </si>
  <si>
    <t>A.</t>
  </si>
  <si>
    <t>Készletek</t>
  </si>
  <si>
    <t>B/I.</t>
  </si>
  <si>
    <t>Értékpapírok</t>
  </si>
  <si>
    <t>B/II.</t>
  </si>
  <si>
    <t xml:space="preserve">Értékpapírok </t>
  </si>
  <si>
    <t>Nemzeti Vagyonba tartozó Forgóeszközök</t>
  </si>
  <si>
    <t>B</t>
  </si>
  <si>
    <t>Nemzeti Vagyonba Tartozó Forgóeszközök összesen</t>
  </si>
  <si>
    <t>Lekötött bankbetétek</t>
  </si>
  <si>
    <t>C/I.</t>
  </si>
  <si>
    <t>Pénztárak, csekkek, betétkönyvek</t>
  </si>
  <si>
    <t>C/II.</t>
  </si>
  <si>
    <t>Forintszámlák</t>
  </si>
  <si>
    <t>C/III.</t>
  </si>
  <si>
    <t>Devizaszámlák</t>
  </si>
  <si>
    <t>C/IV.</t>
  </si>
  <si>
    <t>Pénzeszközök összesen</t>
  </si>
  <si>
    <t>C</t>
  </si>
  <si>
    <t>Költségvetési évben esedékes követelések</t>
  </si>
  <si>
    <t>D/I.</t>
  </si>
  <si>
    <t>Költségvetési évet követően esedékes követelések</t>
  </si>
  <si>
    <t>D/II.</t>
  </si>
  <si>
    <t>Követelés jellegű sajátos elszámolások</t>
  </si>
  <si>
    <t>D/III.</t>
  </si>
  <si>
    <t>Követelések összesen</t>
  </si>
  <si>
    <t>D</t>
  </si>
  <si>
    <t>Egyéb sajátos elszámolások</t>
  </si>
  <si>
    <t>E</t>
  </si>
  <si>
    <t>Eredményszemléletű bevételek aktív időbeli</t>
  </si>
  <si>
    <t>elhatárolása</t>
  </si>
  <si>
    <t>F/1.</t>
  </si>
  <si>
    <t>Eredményszemléletű bevételek aktív időbeli elhatárolása</t>
  </si>
  <si>
    <t>Költségek, ráfordítások aktív időbeli elhatárolása</t>
  </si>
  <si>
    <t>F/2.</t>
  </si>
  <si>
    <t>Halasztott ráfordítások</t>
  </si>
  <si>
    <t>F/3.</t>
  </si>
  <si>
    <t>Aktív időbeli elhatárolások összesen</t>
  </si>
  <si>
    <t>F</t>
  </si>
  <si>
    <t>ESZKÖZÖK ÖSSZESEN</t>
  </si>
  <si>
    <t>FORRÁSOK</t>
  </si>
  <si>
    <t>Nemzeti vagyon induláskori értéke</t>
  </si>
  <si>
    <t>G/I.</t>
  </si>
  <si>
    <t>Nemzeti vagyon változásai</t>
  </si>
  <si>
    <t>G/II.</t>
  </si>
  <si>
    <t>Egyéb eszközök induláskori értéke és változásai</t>
  </si>
  <si>
    <t>G/III.</t>
  </si>
  <si>
    <t>Felhalmozott eredmény</t>
  </si>
  <si>
    <t>G/IV.</t>
  </si>
  <si>
    <t>Eszközök értékhelyesbítésének forrása</t>
  </si>
  <si>
    <t>G/V.</t>
  </si>
  <si>
    <t>Mérleg szerinti eredmény</t>
  </si>
  <si>
    <t>G/VI.</t>
  </si>
  <si>
    <t>Saját tőke összesen</t>
  </si>
  <si>
    <t>G</t>
  </si>
  <si>
    <t>Saját Tőke összesen</t>
  </si>
  <si>
    <t>Költségvetési évben esedékes kötelezettségek</t>
  </si>
  <si>
    <t>H/I.</t>
  </si>
  <si>
    <t>Költségvetési évet követően esedékes kötelezettségek</t>
  </si>
  <si>
    <t>H/II.</t>
  </si>
  <si>
    <t>Kötelezettség jellegű sajátos elszámolások</t>
  </si>
  <si>
    <t>H/III.</t>
  </si>
  <si>
    <t>Kötelezettségek összesen</t>
  </si>
  <si>
    <t>H</t>
  </si>
  <si>
    <t>Kincstári számlavezetéssel kapcsolatos elszámolások</t>
  </si>
  <si>
    <t>I</t>
  </si>
  <si>
    <t>Eredményszemléletű bevételek passzív időbeli elhatárilása</t>
  </si>
  <si>
    <t>J/1.</t>
  </si>
  <si>
    <t>Eredményszemléletű bevételek passzív időbeli elhatárolása</t>
  </si>
  <si>
    <t>Költségek, ráfordítások passzív időbeli elhatárolása</t>
  </si>
  <si>
    <t>J/2.</t>
  </si>
  <si>
    <t>Halasztott eredményszemléletű bevételek</t>
  </si>
  <si>
    <t>J/3.</t>
  </si>
  <si>
    <t>Passzív időbeli elhatárolások összesen</t>
  </si>
  <si>
    <t>J</t>
  </si>
  <si>
    <t>FORRÁSOK ÖSSZESEN</t>
  </si>
  <si>
    <t xml:space="preserve">                 Az 1993. évi LXXVIII. tv. 62. §. 1 bek. szerint az önkormányzat az állam tulajdonából </t>
  </si>
  <si>
    <t xml:space="preserve">                 az önkormányzat tulajdonába került lakóépületeinek elidegenítéséből származó 1994.</t>
  </si>
  <si>
    <t xml:space="preserve">                 március 31. napját követően befolyó - kiadásokkal csökkentett - bevételeit elkülönített</t>
  </si>
  <si>
    <t xml:space="preserve">                 számlán köteles kezelni.</t>
  </si>
  <si>
    <t>Bevételek</t>
  </si>
  <si>
    <t>e Ft-ban</t>
  </si>
  <si>
    <t xml:space="preserve">Kiadások </t>
  </si>
  <si>
    <t>eFt-ban</t>
  </si>
  <si>
    <t>Egyenleg eFt-ban</t>
  </si>
  <si>
    <t>1994.</t>
  </si>
  <si>
    <t xml:space="preserve">  bérlakás értékesítés</t>
  </si>
  <si>
    <t xml:space="preserve"> lakásmobilitás, érték. stb.</t>
  </si>
  <si>
    <t>Tetőtér beépítés</t>
  </si>
  <si>
    <t xml:space="preserve">Bérlakás építés </t>
  </si>
  <si>
    <t>Zanat lakások közmű</t>
  </si>
  <si>
    <t>Kámon lakások közmű</t>
  </si>
  <si>
    <t>Huszár u. lakások közmű</t>
  </si>
  <si>
    <t>1995.</t>
  </si>
  <si>
    <t xml:space="preserve"> bérlakás értékesítés</t>
  </si>
  <si>
    <t>Lakáselidegenités</t>
  </si>
  <si>
    <t>Privatizációs költségek</t>
  </si>
  <si>
    <t>Oladi  lakások (L7 II.ütem)  közmű</t>
  </si>
  <si>
    <t>Kámon lakások (IV. ütem)  közmű</t>
  </si>
  <si>
    <t>Ingatlanbecslés, szakértői díj</t>
  </si>
  <si>
    <t>Lakóház kisajátitás</t>
  </si>
  <si>
    <t>Szalézi tér, Malom u. lakástervezés</t>
  </si>
  <si>
    <t>Lakóterületi vizhólózat bővités</t>
  </si>
  <si>
    <t xml:space="preserve">                     energia ellátás</t>
  </si>
  <si>
    <t>Szolgálati lakások kiváltása</t>
  </si>
  <si>
    <t>Lakásvásárlás önk. lakásnak</t>
  </si>
  <si>
    <t>Bérleti jog visszavásárlása.</t>
  </si>
  <si>
    <t>Bérlőkijelölési jogról lemondás</t>
  </si>
  <si>
    <t>Lakásvásárlással kapcs. bonyolitási dijak</t>
  </si>
  <si>
    <t>Lakóház felújitás, középmagas házak tűzvéd.</t>
  </si>
  <si>
    <t>1996.</t>
  </si>
  <si>
    <t xml:space="preserve">  bérlakás értékesítés összesen</t>
  </si>
  <si>
    <t>Lakás helyiség elidegenités</t>
  </si>
  <si>
    <t xml:space="preserve">   ebből kárpótlási jeggyel vás.</t>
  </si>
  <si>
    <t>Ingatlanbecslés</t>
  </si>
  <si>
    <t>Lakóházfelújitási alapképzés</t>
  </si>
  <si>
    <t>Lakóházfelújités (Petőfi S. u.)</t>
  </si>
  <si>
    <t>Szalézi téri kisajátitás, épités</t>
  </si>
  <si>
    <t>Lakásép. közmű</t>
  </si>
  <si>
    <t>Bérleti jog visszaváltása</t>
  </si>
  <si>
    <t>Emelt szintű nyugdijas ház</t>
  </si>
  <si>
    <t>Alacsony  fok. szoc. lakások</t>
  </si>
  <si>
    <t>1997.</t>
  </si>
  <si>
    <t>Szalézi téri lakásépítés</t>
  </si>
  <si>
    <t>Petőfi S. u. 31. felújítás tervezés.</t>
  </si>
  <si>
    <t xml:space="preserve">Bérleti jog visszavásárlás, önkorm. lakásvás. </t>
  </si>
  <si>
    <t>Emelt szintű nyugdíjas otthon</t>
  </si>
  <si>
    <t>Kényszerbérlet</t>
  </si>
  <si>
    <t>Bogát lakástervezés</t>
  </si>
  <si>
    <t>lakásprivatizáció</t>
  </si>
  <si>
    <t>Lakás- közműellátás</t>
  </si>
  <si>
    <t>Alacsony komfort. szoc.lakás építés</t>
  </si>
  <si>
    <t>1998.</t>
  </si>
  <si>
    <t>Szalézi tér lapkásépítés</t>
  </si>
  <si>
    <t>Huszár úti lakások felújítása</t>
  </si>
  <si>
    <t>Fejleszthető komfortfokozatő lakások</t>
  </si>
  <si>
    <t>Lakásprivatizáció költségei</t>
  </si>
  <si>
    <t>Körmenti u. lakásépítés</t>
  </si>
  <si>
    <t>Lakáshozjutás támogatása</t>
  </si>
  <si>
    <t>1999.</t>
  </si>
  <si>
    <t>Bérlakás értékesítés bevétele</t>
  </si>
  <si>
    <t>Lakáskölcsön törlesztés</t>
  </si>
  <si>
    <t>Szolgálati lakások kedvezménye</t>
  </si>
  <si>
    <t>Lakásfelújítás, lakásprivatizáció</t>
  </si>
  <si>
    <t>2000.</t>
  </si>
  <si>
    <t>Lakáskölcsön törlesztések kezelési költségei</t>
  </si>
  <si>
    <t>2001.</t>
  </si>
  <si>
    <t>Bérleti jog visszavásárlás</t>
  </si>
  <si>
    <t>Bérlakásépítés, vásárlás</t>
  </si>
  <si>
    <t>Lakásprivatizáció</t>
  </si>
  <si>
    <t>2002.</t>
  </si>
  <si>
    <t>Bérlakásépítés, vásárlás(állami támogatás nélkül)</t>
  </si>
  <si>
    <t>2003.</t>
  </si>
  <si>
    <t>2004.</t>
  </si>
  <si>
    <t>Bérlakás vásárlás (állami támogatás nélkül)</t>
  </si>
  <si>
    <t>Szociális bérlakás vásárlás önk-i forrásból</t>
  </si>
  <si>
    <t>Ip.techn.épült lakások és therm.kémények fú.</t>
  </si>
  <si>
    <t>2005.</t>
  </si>
  <si>
    <t>Szt.Márton u.bérlakás ép. (állami támogatás nélkül)</t>
  </si>
  <si>
    <t>Szolgálati lakások kedvezménye,egyéb</t>
  </si>
  <si>
    <t>2006.</t>
  </si>
  <si>
    <t>2007.</t>
  </si>
  <si>
    <t>2008.</t>
  </si>
  <si>
    <t>lakásvásárlás és bérleti jog lemondás</t>
  </si>
  <si>
    <t>nem önkormányzati tul-ban lévő lakásban lakók 
lakbértámogatás</t>
  </si>
  <si>
    <t>2009.</t>
  </si>
  <si>
    <t>2010.</t>
  </si>
  <si>
    <t>2011.</t>
  </si>
  <si>
    <t>Önkormányzati bérlakás felújítások</t>
  </si>
  <si>
    <t>Lakásbérleti díj támogatás</t>
  </si>
  <si>
    <t>2012.</t>
  </si>
  <si>
    <t>Panel program - 2009. évi</t>
  </si>
  <si>
    <t>2013.</t>
  </si>
  <si>
    <t>2014.</t>
  </si>
  <si>
    <t>Önkormányzati bérlakások felújítása</t>
  </si>
  <si>
    <t>Társasház felújításának támogatása</t>
  </si>
  <si>
    <t>2015.</t>
  </si>
  <si>
    <t>2016.</t>
  </si>
  <si>
    <t>2017.</t>
  </si>
  <si>
    <t>2018.</t>
  </si>
  <si>
    <t>2019.</t>
  </si>
  <si>
    <t>2020.</t>
  </si>
  <si>
    <t>Tájékoztató</t>
  </si>
  <si>
    <t xml:space="preserve"> Éves kiadás</t>
  </si>
  <si>
    <t>Megoszlás%-a</t>
  </si>
  <si>
    <t>Egyéb pénzbeli és természetbeni gyermekvédelmi támogatások</t>
  </si>
  <si>
    <t>Családi támogatások összesen:</t>
  </si>
  <si>
    <t>Adósságcsökkentési támogatás [Szoctv. 55/A. § 1. bek. b) pont]</t>
  </si>
  <si>
    <t>Lakhatással kapcsolatos ellátások összesen:</t>
  </si>
  <si>
    <t>Köztemetés (Szoctv. 48.§)</t>
  </si>
  <si>
    <t>Települési támogatás (Szoctv. 45.§)</t>
  </si>
  <si>
    <t>7.</t>
  </si>
  <si>
    <t xml:space="preserve"> Önkormányzat által saját hatáskörben (nem szociális és gyermekvédelmi előírások alapján) adott más ellátás</t>
  </si>
  <si>
    <t>8.</t>
  </si>
  <si>
    <t>Egyéb nem intézményi ellátások</t>
  </si>
  <si>
    <t>9.</t>
  </si>
  <si>
    <t>Kifizetés mindösszesen:</t>
  </si>
  <si>
    <t>Ingatlan-</t>
  </si>
  <si>
    <t>mennyiség</t>
  </si>
  <si>
    <t>érték</t>
  </si>
  <si>
    <t>ingatlanszám</t>
  </si>
  <si>
    <t>földrészlet</t>
  </si>
  <si>
    <t>könyv szerinti</t>
  </si>
  <si>
    <t>becslés szerinti</t>
  </si>
  <si>
    <t>bruttó</t>
  </si>
  <si>
    <t>darab</t>
  </si>
  <si>
    <t>ha</t>
  </si>
  <si>
    <t>m2</t>
  </si>
  <si>
    <t>db</t>
  </si>
  <si>
    <t>e Ft</t>
  </si>
  <si>
    <t>a</t>
  </si>
  <si>
    <t>b</t>
  </si>
  <si>
    <t>c</t>
  </si>
  <si>
    <t>d</t>
  </si>
  <si>
    <t xml:space="preserve">e </t>
  </si>
  <si>
    <t>f</t>
  </si>
  <si>
    <t>g</t>
  </si>
  <si>
    <t>01</t>
  </si>
  <si>
    <t>Rendezett összes ingatlan</t>
  </si>
  <si>
    <t>02</t>
  </si>
  <si>
    <t>Rendezetlen, tulajdonba került ingatlanok</t>
  </si>
  <si>
    <t>03</t>
  </si>
  <si>
    <t>Rendezelten tulajdonból kikerült ingatlanok</t>
  </si>
  <si>
    <t>04</t>
  </si>
  <si>
    <t>Helyrajzi számmal nem rendelkező ingatlanok</t>
  </si>
  <si>
    <t>05</t>
  </si>
  <si>
    <t>Állomány összesen (01+02+04)sorok</t>
  </si>
  <si>
    <t>06</t>
  </si>
  <si>
    <t>16. számlacsoportban nyilvántartott ingatlanok</t>
  </si>
  <si>
    <t>07</t>
  </si>
  <si>
    <t>05. sorból külföldi ingatlan</t>
  </si>
  <si>
    <t>08</t>
  </si>
  <si>
    <t>05.</t>
  </si>
  <si>
    <t>belterület</t>
  </si>
  <si>
    <t>09</t>
  </si>
  <si>
    <t>sorból</t>
  </si>
  <si>
    <t>külterület</t>
  </si>
  <si>
    <t>10</t>
  </si>
  <si>
    <t>forgalomképtelen</t>
  </si>
  <si>
    <t>11</t>
  </si>
  <si>
    <t>korlátozottan forgalomképes</t>
  </si>
  <si>
    <t>12</t>
  </si>
  <si>
    <t>forgalomképes</t>
  </si>
  <si>
    <t>13</t>
  </si>
  <si>
    <t>Beépítetlen terület összesen</t>
  </si>
  <si>
    <t>14</t>
  </si>
  <si>
    <t>100 %-os saját tulajdon</t>
  </si>
  <si>
    <t>15</t>
  </si>
  <si>
    <t>13.</t>
  </si>
  <si>
    <t>más önkormányzattal közös tulajdon</t>
  </si>
  <si>
    <t>16</t>
  </si>
  <si>
    <t>egyéb közös tulajdon</t>
  </si>
  <si>
    <t>17</t>
  </si>
  <si>
    <t>Beépített terület összesen</t>
  </si>
  <si>
    <t>18</t>
  </si>
  <si>
    <t>19</t>
  </si>
  <si>
    <t>17.</t>
  </si>
  <si>
    <t>20</t>
  </si>
  <si>
    <t>21</t>
  </si>
  <si>
    <t>más tulajdonos által beépített</t>
  </si>
  <si>
    <t>22</t>
  </si>
  <si>
    <t>Egyéb önálló ingatlan összesen</t>
  </si>
  <si>
    <t>23</t>
  </si>
  <si>
    <t>24</t>
  </si>
  <si>
    <t>22.</t>
  </si>
  <si>
    <t>25</t>
  </si>
  <si>
    <t>26</t>
  </si>
  <si>
    <t>önkormányzat településén kívül fekvő ingatlan</t>
  </si>
  <si>
    <t>27</t>
  </si>
  <si>
    <t xml:space="preserve">05. </t>
  </si>
  <si>
    <t>védett természeti terület</t>
  </si>
  <si>
    <t>műemléki védettségű</t>
  </si>
  <si>
    <t>BRUTTÓ</t>
  </si>
  <si>
    <t>ÉRTÉKCSÖK.</t>
  </si>
  <si>
    <t>NETTÓ</t>
  </si>
  <si>
    <t xml:space="preserve">A </t>
  </si>
  <si>
    <t>NEMZETI VAGYONBA TARTOZÓ BEFEKTETETT ESZKÖZÖK</t>
  </si>
  <si>
    <t>Immateriális javak</t>
  </si>
  <si>
    <t>A/II/1</t>
  </si>
  <si>
    <t>Forgalomképtelen</t>
  </si>
  <si>
    <t>Korlátozottan forgalomképes</t>
  </si>
  <si>
    <t>Üzleti vagyon</t>
  </si>
  <si>
    <t>Tárgyi eszközök</t>
  </si>
  <si>
    <t xml:space="preserve"> Forgalomképtelen</t>
  </si>
  <si>
    <t>-</t>
  </si>
  <si>
    <t>Helyi Közutak és műtárgyaik</t>
  </si>
  <si>
    <t>Terek, parkok</t>
  </si>
  <si>
    <t>Vizek és közcélú (vizi közműnek nem minősülő) vízi létesítmények</t>
  </si>
  <si>
    <t>A helyi önkormányzat felügyelete alá tartozó költségvetési szervek ingatlanai</t>
  </si>
  <si>
    <t>Üzemeltetésre átadott ingatlanok és kapcsolódó vagyoni értékű jogok</t>
  </si>
  <si>
    <t>Egyéb az önkormányzat által forgalomképtelennek minősített ingatlanok és kapcsolódó vagyoni értékű jogok</t>
  </si>
  <si>
    <t xml:space="preserve">Korlátozottan forgalomképes </t>
  </si>
  <si>
    <t>Közművek (Víz, gáz, csatorna, távfűtés,világítás)</t>
  </si>
  <si>
    <t>Védett természeti területek</t>
  </si>
  <si>
    <t>A képviselőtestület (közgyűlés) és szervei, valamint hivatala ingatlanai</t>
  </si>
  <si>
    <t>Műemlék ingatlanok</t>
  </si>
  <si>
    <t>Vagyonkezelésbe vett ingatlanok és kapcsolódó vagyoni értékű jogok</t>
  </si>
  <si>
    <t>Egyéb az önkormányzat által korlátozottan forgalomképesnek minősített ingatlanok és  kapcsolódó vagyoni értékű jogok (lakások,telkek,sportcélú ingatlanok, létesítmények)</t>
  </si>
  <si>
    <t>Telkek, földterületek</t>
  </si>
  <si>
    <t>Egyéb az önkormányzat által forgalomképesnek minősített ingatlanok és kapcsolódó vagyoni értékű jogok</t>
  </si>
  <si>
    <t>A/II/2.</t>
  </si>
  <si>
    <t>Gépek, berendezések felszerelések, járművek</t>
  </si>
  <si>
    <t>Forgalomképtelen gépek, berendezések, felszerelések, járművek</t>
  </si>
  <si>
    <t>Korlátozottan forgalomképes gépek,berendezések, felszerelések, járművek</t>
  </si>
  <si>
    <t>Üzleti vagyon: gépek, berendezések, felszerelések, járművek</t>
  </si>
  <si>
    <t xml:space="preserve">Tenyészállatok </t>
  </si>
  <si>
    <t>A/II/4.</t>
  </si>
  <si>
    <t>Forgalomképtelen eszköz létesítésére irányuló beruházás, felújítás</t>
  </si>
  <si>
    <t>Korlátozottan forgalomképes eszköz létesítésére irányuló beruházás, felújítás</t>
  </si>
  <si>
    <t>A/II/5.</t>
  </si>
  <si>
    <t>Tárgyi eszközök értékhelyesbítése</t>
  </si>
  <si>
    <t xml:space="preserve">Befektetett pénzügyi eszközök </t>
  </si>
  <si>
    <t>A/III/1.</t>
  </si>
  <si>
    <t>Tartós részesedések - korlátozottan forgalomképes</t>
  </si>
  <si>
    <t>Tartós hitelviszonyt megtestesítő értékpapírok (forgalomképes)</t>
  </si>
  <si>
    <t>A/III/3.</t>
  </si>
  <si>
    <t>Befektetett pénzügyi eszközök értékhelyesbítése (forgalomképes)</t>
  </si>
  <si>
    <t>A/IV.</t>
  </si>
  <si>
    <t>Koncesszióba, vagyonkezelésbe adott eszközök</t>
  </si>
  <si>
    <t>A/IV/1</t>
  </si>
  <si>
    <t>Vagyonkezelésbe adott eszközök - forgalomképtelen</t>
  </si>
  <si>
    <t xml:space="preserve">B </t>
  </si>
  <si>
    <t>NEMZETI VAGYONBA TARTOZÓ FORGÓESZKÖZÖK</t>
  </si>
  <si>
    <t>Készletek (forgalomképes)</t>
  </si>
  <si>
    <t>PÉNZESZKÖZÖK - forgalomképes</t>
  </si>
  <si>
    <t>C/IV</t>
  </si>
  <si>
    <t>KÖNYVVITELI MÉRLEGEN KÍVÜLI TÉTELEK</t>
  </si>
  <si>
    <t xml:space="preserve">"0"-ra leírt, de használatban lévő eszközök állománya </t>
  </si>
  <si>
    <t>Ingatlanok és kapcsolódó vagyonértékű jogok</t>
  </si>
  <si>
    <t>Gépek,berendezések,felszerelések, járművek</t>
  </si>
  <si>
    <t>Használatban lévő kisértékű  immateriális javak, tárgyi eszközök, készletek</t>
  </si>
  <si>
    <t>Kisértékű Immateriális javak</t>
  </si>
  <si>
    <t>Kisértékű Ingatlanok és kapcsolódó vagyoniértékű jogok</t>
  </si>
  <si>
    <t>Kisértékű Gépek, berendezések, felszerelések, járművek</t>
  </si>
  <si>
    <t>Kulturális javak körébe tartozó közgyűjtemény, régészeti lelet</t>
  </si>
  <si>
    <t>2011. évi CXCVI. Törvény a nemzeti vagyonról 1. §.  (2) bekezdés g) és h) pontja szerint</t>
  </si>
  <si>
    <t>Berzsenyi Dániel Megyei Hatókörű Városi Könyvtárállományi értéke - Információs adathordozók 
(pl. könyvek, folyóiratok)</t>
  </si>
  <si>
    <t>SAVARIA Megyei Hatókörű Városi Múzeum</t>
  </si>
  <si>
    <t>- infomációs adathordozó (pl. könyvek, folyóiratok)</t>
  </si>
  <si>
    <t>- műtárgy</t>
  </si>
  <si>
    <t>01. számlaosztály Vagyonkezelésben lévő önkormányzati tulajdonú eszközök</t>
  </si>
  <si>
    <t>Szombathelyi Tankerület vagyonkezelésében lévő önkormányzati tulajdonú eszközök</t>
  </si>
  <si>
    <t>Vas Megyei Szakképzési Centrum</t>
  </si>
  <si>
    <t>Szombathelyi Élelmiszeripari és Földmérési Szakképző Iskola és Kollégium vagyonkezelésében lévő önkormányzati tulajdonú eszközök</t>
  </si>
  <si>
    <t>Herman Ottó Környezetvédelmi és Mezőgazdasági Szakképző Iskola és Kollégium vagyonkezelésében lévő önkormányzati tulajdonú eszközök</t>
  </si>
  <si>
    <t>Tulajdoni hányad</t>
  </si>
  <si>
    <t>Korábbi évek</t>
  </si>
  <si>
    <t>%-ban</t>
  </si>
  <si>
    <t>értékvesztés</t>
  </si>
  <si>
    <t>FALCO KC</t>
  </si>
  <si>
    <t>Szombathelyi Parkfenntartási Kft</t>
  </si>
  <si>
    <t>Saját alapítású gazdasági társaságok összesen</t>
  </si>
  <si>
    <t>Fogyatékkal Élőket és Hajléktalanokat Ellátó Közhasznú Nonprofit Kft.</t>
  </si>
  <si>
    <t>Szombathelyi Sportközpont és Sportiskola Nonprofit Kft.</t>
  </si>
  <si>
    <t>Weöres Sándor Színház Nonprofit Kft.</t>
  </si>
  <si>
    <t>Szombathelyi Képző Központ Közhasznú Nonprofit Kft.</t>
  </si>
  <si>
    <t>Savaria Városfejlesztési Nonprofit Kft.</t>
  </si>
  <si>
    <t>Savaria Turizmus Nonprofit Kft</t>
  </si>
  <si>
    <t>SZOMHULL  Szombathelyi Hulladékgazdálkodási Közszolgáltató Nonprofit Kft.</t>
  </si>
  <si>
    <t>Haladás Sportkomplexum Fejlesztő Nonprofit Kft.</t>
  </si>
  <si>
    <t>Saját alapítású Nonprofit  gazdasági társaságok összesen</t>
  </si>
  <si>
    <t>Rába Nyrt.</t>
  </si>
  <si>
    <t>Forrás Vagyonkezelési és Befektetési NyRt.</t>
  </si>
  <si>
    <t>Egyéb részesedések:</t>
  </si>
  <si>
    <t>Kimutatás a pénzügyi lízingből eredő fizetési kötelezettség állományról</t>
  </si>
  <si>
    <t>K&amp;H Bank Zrt - Keretszerződés száma: IBD-MUN-17-0122/OHD</t>
  </si>
  <si>
    <t>Forintban</t>
  </si>
  <si>
    <t>Esedékesség (Év)</t>
  </si>
  <si>
    <t>Tervezett</t>
  </si>
  <si>
    <t>Tőke</t>
  </si>
  <si>
    <t>Kamat</t>
  </si>
  <si>
    <t>2024. év</t>
  </si>
  <si>
    <t>2025. év</t>
  </si>
  <si>
    <t>2026. év</t>
  </si>
  <si>
    <t>2027. év</t>
  </si>
  <si>
    <t>2028. év</t>
  </si>
  <si>
    <t>2029. év</t>
  </si>
  <si>
    <t>2030. év</t>
  </si>
  <si>
    <t>2031. év</t>
  </si>
  <si>
    <t xml:space="preserve">Költségvetési </t>
  </si>
  <si>
    <t>Önkormányzat</t>
  </si>
  <si>
    <t>szervek bevételei</t>
  </si>
  <si>
    <t>bevételei</t>
  </si>
  <si>
    <t>bevételek</t>
  </si>
  <si>
    <t>szervek kiadásai</t>
  </si>
  <si>
    <t>kiadásai</t>
  </si>
  <si>
    <t>kiadások</t>
  </si>
  <si>
    <t xml:space="preserve">KÖLTSÉGVETÉSI BEVÉTELEK </t>
  </si>
  <si>
    <t>KÖLTSÉGVETÉSI KIADÁSOK</t>
  </si>
  <si>
    <t>B1</t>
  </si>
  <si>
    <t>Működési célú támogatások államháztartáson belülről</t>
  </si>
  <si>
    <t>K1</t>
  </si>
  <si>
    <t>Személyi juttatások</t>
  </si>
  <si>
    <t>B3</t>
  </si>
  <si>
    <t>K2</t>
  </si>
  <si>
    <t>Munkaadókat terhelő járulékok és szociális hozzájárulási adó</t>
  </si>
  <si>
    <t>B4</t>
  </si>
  <si>
    <t>Működési bevétel</t>
  </si>
  <si>
    <t>K3</t>
  </si>
  <si>
    <t>Dologi kiadások</t>
  </si>
  <si>
    <t>B6</t>
  </si>
  <si>
    <t>K4</t>
  </si>
  <si>
    <t>Ellátottak pénzbeli juttatásai</t>
  </si>
  <si>
    <t>K5</t>
  </si>
  <si>
    <t>Egyéb működési célú kiadások</t>
  </si>
  <si>
    <t>Működési bevételek összesen</t>
  </si>
  <si>
    <t>Működési kiadások összesen</t>
  </si>
  <si>
    <t>*</t>
  </si>
  <si>
    <t>B2</t>
  </si>
  <si>
    <t>K6</t>
  </si>
  <si>
    <t>B5</t>
  </si>
  <si>
    <t>K7</t>
  </si>
  <si>
    <t>Felújítások</t>
  </si>
  <si>
    <t>B7</t>
  </si>
  <si>
    <t>Felhalmozási célú átvett pénzeszközök</t>
  </si>
  <si>
    <t>K8</t>
  </si>
  <si>
    <t>Egyéb felhalmozási célú kiadások</t>
  </si>
  <si>
    <t>Felhalmozási bevételek összesen</t>
  </si>
  <si>
    <t>Felhalmozási kiadások összesen</t>
  </si>
  <si>
    <t>KÖLTSÉGVETÉSI BEVÉTELEK ÖSSZESEN</t>
  </si>
  <si>
    <t>KÖLTSÉGVETÉSI KIADÁSOK ÖSSZESEN</t>
  </si>
  <si>
    <t>B8</t>
  </si>
  <si>
    <t>Finanszírozási bevételek</t>
  </si>
  <si>
    <t>K9</t>
  </si>
  <si>
    <t>Finanszírozási kiadások</t>
  </si>
  <si>
    <t>MINDÖSSZESEN BEVÉTELEK</t>
  </si>
  <si>
    <t>MINDÖSSZESEN KIADÁSOK</t>
  </si>
  <si>
    <r>
      <rPr>
        <sz val="18"/>
        <color theme="1"/>
        <rFont val="Arial CE"/>
        <charset val="238"/>
      </rPr>
      <t>*</t>
    </r>
    <r>
      <rPr>
        <sz val="12"/>
        <color theme="1"/>
        <rFont val="Arial CE"/>
        <family val="2"/>
        <charset val="238"/>
      </rPr>
      <t xml:space="preserve"> Az Európai Uniós fejlesztési projektek bevételi és kiadási számviteli elszámolása a  könyvekben működési és felhalmozási főkönyvi bontásban szerepel mind kiadási mind bevételi oldalon az 1. melléklet szerint. Annak érdekében, hogy a projektek teljes körű költségvetése áttekinthető, átlátható legyen, a rendelet többi mellékleteiben a működési és felhalmozási tételek nem kerültek szétbontásra. Ez magyarázza az eltérést a 2. melléklethez képest.</t>
    </r>
  </si>
  <si>
    <t xml:space="preserve">2022. évi bevételei  kiemelt előirányzatonként </t>
  </si>
  <si>
    <t xml:space="preserve">2022. évi  kiadásai kiemelt előirányzatonként </t>
  </si>
  <si>
    <t>2022. évi közvetett támogatásairól</t>
  </si>
  <si>
    <t>Jegyzett tőke</t>
  </si>
  <si>
    <t>Tárgyévi</t>
  </si>
  <si>
    <t>Mérleg érték</t>
  </si>
  <si>
    <t xml:space="preserve"> elszámolt</t>
  </si>
  <si>
    <t xml:space="preserve"> Elszámolt</t>
  </si>
  <si>
    <t>értéke  Ft</t>
  </si>
  <si>
    <t>Vasivíz RT</t>
  </si>
  <si>
    <t>Szhelyi Haladás Labdarúgó és Sportszolg.KFT</t>
  </si>
  <si>
    <t>Prenor KFT</t>
  </si>
  <si>
    <t>Vas Megyei Temetkezési Kft</t>
  </si>
  <si>
    <t>Szombathelyi Vagyonhasznosító és Városgazd. Nonprofit Zrt.</t>
  </si>
  <si>
    <t xml:space="preserve">Agora Savaria Nonprofit Kft. </t>
  </si>
  <si>
    <t>Nyugat-Pannon Járműipari és Mechatronikai Kp.Szolg. Nonprofit Kft. "v.a."</t>
  </si>
  <si>
    <t>Hétforrás  zrt</t>
  </si>
  <si>
    <t>Részesedések, üzletrészek állománya 2022. december 31-én</t>
  </si>
  <si>
    <t>Záróállomány 2022.12.31. mindösszesen:</t>
  </si>
  <si>
    <t xml:space="preserve">2022. </t>
  </si>
  <si>
    <t>2022.12.31</t>
  </si>
  <si>
    <t>Szombathely Megyei Jogú Város Önkormányzatának mérlegadatai 2022.évben</t>
  </si>
  <si>
    <t>Szombathely Megyei Jogú Város Önkormányzata ingatlanvagyon-kataszter összesítője 2022. év</t>
  </si>
  <si>
    <t>2025.</t>
  </si>
  <si>
    <t>Szombathely Megyei Jogú Város Önkormányzata 2022.évi fejlesztési kiadásainak</t>
  </si>
  <si>
    <t>2022. évi bevételeiről és kiadásairól</t>
  </si>
  <si>
    <t>2022. évi segély kifizetésekről</t>
  </si>
  <si>
    <t>-2021.évi pénzmaradvány (pénzforgalom nélküli bevétel)</t>
  </si>
  <si>
    <t xml:space="preserve">       A " Lakásalap" 1994-2022. közötti bevételeiről és kiadásairól</t>
  </si>
  <si>
    <r>
      <t>következő évekre áthúzódó hatásairól</t>
    </r>
    <r>
      <rPr>
        <b/>
        <sz val="14"/>
        <color rgb="FFFF0000"/>
        <rFont val="Calibri"/>
        <family val="2"/>
        <charset val="238"/>
      </rPr>
      <t xml:space="preserve"> </t>
    </r>
  </si>
  <si>
    <t>Költségvetési szervek 2022. évi bevételei</t>
  </si>
  <si>
    <t xml:space="preserve"> Működési bevételek</t>
  </si>
  <si>
    <t>Működési célú átvett  pénzeszközök</t>
  </si>
  <si>
    <t>Előző év költségvetési maradványának igénybevétele</t>
  </si>
  <si>
    <t xml:space="preserve"> Központi irányítószervtől kapott támogatás</t>
  </si>
  <si>
    <t>Központi irányítószervtől kapott támogatás összesen</t>
  </si>
  <si>
    <t>Költségvetési bevételek összesen</t>
  </si>
  <si>
    <t>I N T É Z M É N Y</t>
  </si>
  <si>
    <t>Működési</t>
  </si>
  <si>
    <t>Felhalmozási</t>
  </si>
  <si>
    <t>Eredeti előirányzat</t>
  </si>
  <si>
    <t>Módosított előirányzat 
RM III.</t>
  </si>
  <si>
    <t>Teljesítés  
%-a</t>
  </si>
  <si>
    <t>Ó v o d á k</t>
  </si>
  <si>
    <t>Aréna Óvoda</t>
  </si>
  <si>
    <t>Barátság  Óvoda</t>
  </si>
  <si>
    <t xml:space="preserve">Pipitér Óvoda </t>
  </si>
  <si>
    <t xml:space="preserve">Hétszínvirág Óvoda </t>
  </si>
  <si>
    <t xml:space="preserve">Szivárvány Óvoda </t>
  </si>
  <si>
    <t xml:space="preserve">Donászy Magda Óvoda </t>
  </si>
  <si>
    <t xml:space="preserve">Mesevár Óvoda </t>
  </si>
  <si>
    <t xml:space="preserve">Játéksziget  Óvoda </t>
  </si>
  <si>
    <t>Kőrösi Csoma Sándor Utcai Óvoda</t>
  </si>
  <si>
    <t xml:space="preserve">Gazdag Erzsi Óvoda  </t>
  </si>
  <si>
    <t>Maros  Óvoda</t>
  </si>
  <si>
    <t>Vadvirág Óvoda</t>
  </si>
  <si>
    <t xml:space="preserve">Margaréta Óvoda  </t>
  </si>
  <si>
    <t>Napsugár  Óvoda</t>
  </si>
  <si>
    <t>Szűrcsapó Óvoda</t>
  </si>
  <si>
    <t>Mocorgó Óvoda</t>
  </si>
  <si>
    <t>Benczúr Gyula Utcai Óvoda</t>
  </si>
  <si>
    <t xml:space="preserve">Weöres Sándor  Óvoda </t>
  </si>
  <si>
    <t>Óvodák  összesen</t>
  </si>
  <si>
    <t>Oktatási intézmények összesen</t>
  </si>
  <si>
    <t>Nem oktatási intézmények</t>
  </si>
  <si>
    <t>Kulturális intézmények</t>
  </si>
  <si>
    <t>Savaria Szimfonikus Zenekar</t>
  </si>
  <si>
    <t>Berzsenyi Dániel Megyei Hatókörű Városi Könyvtár</t>
  </si>
  <si>
    <t>Savaria Megyei Hatókörű Városi Múzeum</t>
  </si>
  <si>
    <t xml:space="preserve">Összesen                             </t>
  </si>
  <si>
    <t>Szociális intézmény</t>
  </si>
  <si>
    <t>Pálos Károly Szociális Szolgáltató Központ és Gyermekjóléti Szolgálat</t>
  </si>
  <si>
    <t>Egészségügyi intézmény</t>
  </si>
  <si>
    <t>Szombathelyi Egészségügyi és Kulturális GESZ</t>
  </si>
  <si>
    <t>Gyermekvédelmi intézmény</t>
  </si>
  <si>
    <t xml:space="preserve">Szombathelyi Egyesitett Bölcsődei Intézmény </t>
  </si>
  <si>
    <t>Egyéb intézmények</t>
  </si>
  <si>
    <t>Szombathelyi Városi Vásárcsarnok</t>
  </si>
  <si>
    <t xml:space="preserve">Összesen                                 </t>
  </si>
  <si>
    <t>Nem oktatási intézmények összesen</t>
  </si>
  <si>
    <t>Intézmények mindösszesen</t>
  </si>
  <si>
    <t>Költségvetési szervek 2022. évi kiadásai</t>
  </si>
  <si>
    <t xml:space="preserve">Dologi kiadások </t>
  </si>
  <si>
    <t>Költségvetési kiadások összesen</t>
  </si>
  <si>
    <t>Teljesítés          
%-a</t>
  </si>
  <si>
    <t xml:space="preserve">Mocorgó Óvoda </t>
  </si>
  <si>
    <t xml:space="preserve">Szombathelyi Egyesített Bölcsődei Intézmény </t>
  </si>
  <si>
    <t>Szombathely Megyei Jogú Város Önkormányzatának</t>
  </si>
  <si>
    <t>2022. évi  engedélyezett záró létszámelőirányzata</t>
  </si>
  <si>
    <t>2022. év</t>
  </si>
  <si>
    <t>2022. évi  záró engedélyezett  létszám  előirányzat összesen</t>
  </si>
  <si>
    <t>Intézmény</t>
  </si>
  <si>
    <t>SZAKMAI LÉTSZÁM</t>
  </si>
  <si>
    <t>INTÉZMÉNY ÜZEMELTETÉSI LÉTSZÁM</t>
  </si>
  <si>
    <t>2022. évi záró létszám</t>
  </si>
  <si>
    <t>átszámítás nélküli</t>
  </si>
  <si>
    <t xml:space="preserve">   kerekített</t>
  </si>
  <si>
    <t>kerekített</t>
  </si>
  <si>
    <t xml:space="preserve">Ó v o d á k </t>
  </si>
  <si>
    <t>Óvodák  összesen:</t>
  </si>
  <si>
    <t xml:space="preserve">Oktatási intézmények összesen                                       </t>
  </si>
  <si>
    <t>Kulturális intézmény</t>
  </si>
  <si>
    <t xml:space="preserve">Összesen                                       </t>
  </si>
  <si>
    <t>Szombathelyi Egyesített Bölcsődei Intézmény</t>
  </si>
  <si>
    <t xml:space="preserve"> 2023.évi költségvetési rendelettervezetében meghatározott feladatok, illetve korábbi</t>
  </si>
  <si>
    <t>Szombathely Megyei Jogú Város vagyonkimutatása 2022. év</t>
  </si>
  <si>
    <r>
      <t xml:space="preserve">Pálos Károly Szociális Szolgáltató Központ és Gyermekjóléti Szolgálat </t>
    </r>
    <r>
      <rPr>
        <b/>
        <i/>
        <sz val="12"/>
        <rFont val="Calibri"/>
        <family val="2"/>
        <charset val="238"/>
        <scheme val="minor"/>
      </rPr>
      <t>önkormányzati támogatásból fedezett kiadás</t>
    </r>
  </si>
  <si>
    <r>
      <t xml:space="preserve">Pálos Károly Szociális Szolgáltató Központ és Gyermekjóléti Szolgálat </t>
    </r>
    <r>
      <rPr>
        <b/>
        <i/>
        <sz val="12"/>
        <rFont val="Calibri"/>
        <family val="2"/>
        <charset val="238"/>
        <scheme val="minor"/>
      </rPr>
      <t>intézmény saját bevételéből fedezett kiadás</t>
    </r>
  </si>
  <si>
    <r>
      <t xml:space="preserve">Pálos Károly Szociális Szolgáltató Központ és Gyermekjóléti Szolgálat </t>
    </r>
    <r>
      <rPr>
        <b/>
        <i/>
        <sz val="12"/>
        <rFont val="Calibri"/>
        <family val="2"/>
        <charset val="238"/>
        <scheme val="minor"/>
      </rPr>
      <t>intézmény 2020. évi maradványból fedezett kiadás</t>
    </r>
  </si>
  <si>
    <r>
      <t xml:space="preserve">Pálos Károly Szociális Szolgáltató Központ és Gyermekjóléti Szolgálat </t>
    </r>
    <r>
      <rPr>
        <b/>
        <sz val="12"/>
        <rFont val="Calibri"/>
        <family val="2"/>
        <charset val="238"/>
        <scheme val="minor"/>
      </rPr>
      <t>intézményi saját bevételből fedezett kiadás</t>
    </r>
  </si>
  <si>
    <r>
      <t xml:space="preserve">Pálos Károly Szociális Szolgáltató Központ és Gyermekjóléti Szolgálat </t>
    </r>
    <r>
      <rPr>
        <b/>
        <sz val="12"/>
        <rFont val="Calibri"/>
        <family val="2"/>
        <charset val="238"/>
        <scheme val="minor"/>
      </rPr>
      <t>önkormányzati támogatásból fedezett kiadás</t>
    </r>
  </si>
  <si>
    <r>
      <t>Pálos Károly Szociális Szolgáltató Központ és Gyermekjóléti Szolgálat intézményi</t>
    </r>
    <r>
      <rPr>
        <b/>
        <sz val="12"/>
        <rFont val="Calibri"/>
        <family val="2"/>
        <charset val="238"/>
        <scheme val="minor"/>
      </rPr>
      <t xml:space="preserve"> 2020. évi maradványból fedezett kiadás</t>
    </r>
  </si>
  <si>
    <r>
      <t xml:space="preserve">Egyesített Bölcsődei Intézmény </t>
    </r>
    <r>
      <rPr>
        <b/>
        <i/>
        <sz val="12"/>
        <rFont val="Calibri"/>
        <family val="2"/>
        <charset val="238"/>
        <scheme val="minor"/>
      </rPr>
      <t>önkormányzati támogatásból fedezett kiadás</t>
    </r>
  </si>
  <si>
    <r>
      <t>Egyesített Bölcsődei Intézmény</t>
    </r>
    <r>
      <rPr>
        <b/>
        <i/>
        <sz val="12"/>
        <rFont val="Calibri"/>
        <family val="2"/>
        <charset val="238"/>
        <scheme val="minor"/>
      </rPr>
      <t xml:space="preserve"> saját bevételéből fedezett kiadás</t>
    </r>
  </si>
  <si>
    <r>
      <t xml:space="preserve">Egyesített Bölcsődei Intézmény </t>
    </r>
    <r>
      <rPr>
        <b/>
        <i/>
        <sz val="12"/>
        <rFont val="Calibri"/>
        <family val="2"/>
        <charset val="238"/>
        <scheme val="minor"/>
      </rPr>
      <t>2020.évi maradványából fedezett kiadás</t>
    </r>
  </si>
  <si>
    <t>általános működésének és ágazati feladatainak támogatása</t>
  </si>
  <si>
    <t>és a helyi önkormányzatok kiegészítő támogatásai</t>
  </si>
  <si>
    <t>Önkormányzat általános működésének és ágazati feladatainak támogatása (Kvtv.2022. 2. melléklet)</t>
  </si>
  <si>
    <t>2022. évi III. sz. módosított előirányzat</t>
  </si>
  <si>
    <t>2022. évi elszámolás</t>
  </si>
  <si>
    <t>Eltérés</t>
  </si>
  <si>
    <t>1.1. TELEPÜLÉSI ÖNKORMÁNYZATOK MŰKÖDÉSÉNEK ÁLTALÁNOS TÁMOGATÁSA</t>
  </si>
  <si>
    <t>1.1.1.1. Önkormányzati hivatal működésének támogatása</t>
  </si>
  <si>
    <t>1.1.1.2. Településüzemeltetés - zöldterület gazdálkodás támogatása</t>
  </si>
  <si>
    <t>1.1.1.3. Településüzemeltetés - közvilágítás támogatása</t>
  </si>
  <si>
    <t>1.1.1.4. Településüzemeltetés - köztemető támogatása</t>
  </si>
  <si>
    <t>1.1.1.5. Településüzemeltetés - közutak támogatása</t>
  </si>
  <si>
    <t>1.1.1.6. Egyéb önkormányzati feladatok támogatása</t>
  </si>
  <si>
    <t>1.1.1.7. Lakott külterülettel kapcsolatos feladatok támogatása</t>
  </si>
  <si>
    <t>1.1.2. Nem közművel összegyűjtött háztartási szennyvíz ártalmatlanítása</t>
  </si>
  <si>
    <t>A HELYI ÖNKORMÁNYZATOK MŰKÖDÉSÉNEK ÁLTALÁNOS TÁMOGATÁSA ÖSSZESEN</t>
  </si>
  <si>
    <t>1.2. A TELEPÜLÉSI ÖNKORMÁNYZATOK EGYES KÖZNEVELÉSI FELADATAINAK TÁMOGATÁSA</t>
  </si>
  <si>
    <t>1.2.1. Óvodaműködtetési támogatás</t>
  </si>
  <si>
    <t>1.2.1.1. Óvoda működtetési támogatás - Óvoda napi nyitvatartási ideje eléri a 8 órát</t>
  </si>
  <si>
    <t>1.2.2. Az óvodában foglalkoztatott pedagógusok átlagbéralapú támogatása</t>
  </si>
  <si>
    <t>1.2.2.1 Pedagógusok átlagbéralapú támogatása</t>
  </si>
  <si>
    <t>1.2.4. Nemzetiségi pótlék</t>
  </si>
  <si>
    <t>1.2.4.1. Napi 8 órát elérő nyitvatartási idővel rendelkező óvodában foglalkoztatott</t>
  </si>
  <si>
    <t>1.2.4.1.1.A köznevelési Kjtvhr.16 §.(6) a)pont ac) alpontja éa b) pontja alapján nemzetisgi pótlékban részesülő pedagógus</t>
  </si>
  <si>
    <t>1.2.5. Az óvodában foglalkoztatott pedagógusok nevelőmunkáját közvetlenül segítők átlagbéralapú támogatása</t>
  </si>
  <si>
    <t>1.2.5.1. Napi 8 órát elérő nyitvatartási idővel rendelkező óvodában foglalkoztatott</t>
  </si>
  <si>
    <t>1.2.5.1.1.pedagógus szakképzettséggel nem rendelkező segítők átlagbéralapú támogatása</t>
  </si>
  <si>
    <t>1.2.5.1.2.pedagógus szakképzettséggel rendelkező segítők átlagbéralapú támogatása</t>
  </si>
  <si>
    <t xml:space="preserve">1.2.3. Kiegészítő tám. a ped.-ok és a ped.szakképzettséggel rend.segítők  minosítésébol adódó többletkiad.-hoz </t>
  </si>
  <si>
    <t>1.2.3.1. Minősítést 2021.január 1-jéig történő átsorolással megszerző</t>
  </si>
  <si>
    <t>1.2.3.1.1. Napi 8 órát elérő nyitvatartási idővel rendelkező óvodában foglalkoztatott</t>
  </si>
  <si>
    <t>1.2.3.1.1.1.Alapfokozatú végzettségű</t>
  </si>
  <si>
    <t>1.2.3.1.1.1.1. Pedagógus II.kategóriába sorolt pedagógusok,ped.szakképzettséggel rendekkező segtők kiegészítő támogatása</t>
  </si>
  <si>
    <t>1.2.3.1.1.1.2. Mestertanár,kutatótanár kategóriába sorolt pedagógusok kiegészítő támogatása</t>
  </si>
  <si>
    <t>1.2.3.1.1.2. Mesterfokú végzettségű</t>
  </si>
  <si>
    <t>1.2.3.1.1.2.1. Pedagógus II.kategóriába sorolt pedagógusok,ped.szakképzettséggel rendekkező segtők kiegészítő támogatása</t>
  </si>
  <si>
    <t>1.2.3.1.1.2.2. Mestertanár,kutatótanár kategóriába sorolt pedagósusok kiegészítő támogatása</t>
  </si>
  <si>
    <t>1.2.3.2. Minősítést 2022.január 1-jéig történő átsorolással megszerző</t>
  </si>
  <si>
    <t>1.2.3.2.1. Napi 8 órát elérő nyitvatartási idővel rendelkező óvodában foglalkoztatott</t>
  </si>
  <si>
    <t>1.2.3.2.1.1.Alapfokozatú végzettségű</t>
  </si>
  <si>
    <t>1.2.3.2.1.1.1. Pedagógus II.kategóriába sorolt pedagógusok,ped.szakképzettséggel rendekkező segtők kiegészítő támogatása</t>
  </si>
  <si>
    <t>1.2.3.2.1.1.2. Mestertanár,kutatótanár kategóriába sorolt pedagógusok kiegészítő támogatása</t>
  </si>
  <si>
    <t>1.2.3.2.1.2. Mesterfokú végzettségű</t>
  </si>
  <si>
    <t>1.2.3.2.1.2.1. Pedagógus II.kategóriába sorolt pedagógusok,ped.szakképzettséggel rendekkező segtők kiegészítő támogatása</t>
  </si>
  <si>
    <t>1.2.3.2.1.2.2. Mestertanár,kutatótanár kategóriába sorolt pedagógusok kiegészítő támogatása</t>
  </si>
  <si>
    <t>1.2.7. Diabétesz ellátási pótlék</t>
  </si>
  <si>
    <t>1.2. A TELEPÜLÉSI ÖNKORMÁNYZATOK EGYES KÖZNEVELÉSI FELADATAINAK TÁMOGATÁSA ÖSSZESEN</t>
  </si>
  <si>
    <t>1.3. TELEPÜLÉSI ÖNKORMÁNYZATOK EGYES SZOCIÁLIS ÉS GYERMEKJÓLÉTI FELADATAINAK TÁMOGATÁSA</t>
  </si>
  <si>
    <t>1.3.2. Egyes szociális és gyermekjóléti feladatok támogatása</t>
  </si>
  <si>
    <t xml:space="preserve">1.3.2.1.Család- és gyermekjóléti szolgálat </t>
  </si>
  <si>
    <t>1.3.2.2.Család- és gyermekjóléti központ</t>
  </si>
  <si>
    <t>1.3.2.3.1. Szociális étkeztetés - önálló feladat ellátás</t>
  </si>
  <si>
    <t xml:space="preserve">1.3.2.4.1. Házi segítségnyújtás- szociális segítés </t>
  </si>
  <si>
    <t xml:space="preserve">1.3.2.4.2. Házi segítségnyújtás- személyi gondozás </t>
  </si>
  <si>
    <t>1.3.2.6.1. Időskorúak nappali intézményi ellátása  - önálló feladat ellátás</t>
  </si>
  <si>
    <t>1.3.2.8.1. Demens személyek nappali intézményi ellátása - önálló feladat ellátás</t>
  </si>
  <si>
    <t>1.3.3. Bölcsőde, mini bölcsőde támogatása</t>
  </si>
  <si>
    <t>1.3.3.1. Bölcsődei támogatás</t>
  </si>
  <si>
    <t>1.3.3.1.1. Felsőfokú végzettségű kisgyermeknevelők, szaktanácsadók bértámogatása</t>
  </si>
  <si>
    <t>1.3.3.1.2. Bölcsődei dajkák, középfokú végzettségű kisgyermeknevelők, szaktanácsadók bértámogatása</t>
  </si>
  <si>
    <t>1.3.3.2. Bölcsőde üzemeltetési támogatás</t>
  </si>
  <si>
    <t>1.3.3. Bölcsőde, mini bölcsőde támogatása összesen</t>
  </si>
  <si>
    <t>1.3.4. Települési önk.által biztosított szoc.szakosított ellátsok, valamint a gyermekek átmeneti gondozásával kapcsolatos feladatok támogatása</t>
  </si>
  <si>
    <t>1.3.4.1. Bértámogatás</t>
  </si>
  <si>
    <t>1.3.4.2. Intézményüzemeltetési támogatás</t>
  </si>
  <si>
    <t>1.3. TELEPÜLÉSI ÖNKORMÁNYZATOK EGYES SZOCIÁLIS ÉS GYERMEKJÓLÉTI FELADATAINAK TÁMOGATÁSA ÖSSZESEN</t>
  </si>
  <si>
    <t>1.4. TELEPÜLÉSI ÖNKORMÁNYZATOK GYERMEKÉTKEZTETÉS FELADATAINAK TÁMOGATÁSA</t>
  </si>
  <si>
    <t>1.4.1. Intézményi gyermekétkeztetés támogatása</t>
  </si>
  <si>
    <t>1.4.1.1. Intézményi gyermekétkeztetés - bértámogatás</t>
  </si>
  <si>
    <t xml:space="preserve">1.4.1.2. Intézményi gyermekétkeztetés - üzemeltetési támogatása </t>
  </si>
  <si>
    <t>1.4.2. Szünidei étkeztetés támogatása</t>
  </si>
  <si>
    <t>1.4. TELEPÜLÉSI ÖNKORMÁNYZATOK GYERMEKÉTKEZTETÉS FELADATAINAK TÁMOGATÁSA ÖSSZESEN</t>
  </si>
  <si>
    <t xml:space="preserve">1.5. A TELEPÜLÉSI ÖNKORMÁNYZATOK KULTURÁLIS FELADATAINAK TÁMOGATÁSA </t>
  </si>
  <si>
    <t>1.5.1. Megyeszékhely megyei jogú városok közművelődési feladatainak támogatása</t>
  </si>
  <si>
    <t>1.5.5. Megyei hatókörű városi könyvtár kistelepülési célú kiegészítő támogatása</t>
  </si>
  <si>
    <t>1.5. A TELEPÜLÉSI ÖNKORMÁNYZATOK KULTURÁLIS FELADATAINAK TÁMOGATÁSA ÖSSZESEN</t>
  </si>
  <si>
    <t>TELEPÜLÉSI ÖNKORMÁNYZATOK ÁLTALÁNOS MŰKÖDÉSÉNEK ÉS ÁGAZATI FELADATAINAK TÁMOGATÁSA MINDÖSSZESEN</t>
  </si>
  <si>
    <t>Helyi önkormányzatok kiegészítő támogatásai (Kvtv.2022. 3. melléklet)</t>
  </si>
  <si>
    <t>2.1.2. A kéményseprő-ipari közszolgáltatás helyi önkormányzat általi ellátásának támogatása</t>
  </si>
  <si>
    <t>2.2.2. Szociális ágazati összevont pótlék és egészségügyi kiegészítő pótlék</t>
  </si>
  <si>
    <t>2.2.3.Óvodai és iskolai szociális segítő tevékenység támogatása</t>
  </si>
  <si>
    <t>2.3.2.1. Megyei hatókörű városi múzeumok feladatainak támogatása</t>
  </si>
  <si>
    <t>2.3.2.2. Megyei hatókörű városi  könyvtárak feladatainak támogatása</t>
  </si>
  <si>
    <t>2.3.2.4. A települési önkormányzatok könyvtári célú érdekeltségnövelő támogatása</t>
  </si>
  <si>
    <t>2.3.2.6. Zeneművészeti szervezetek támogatása</t>
  </si>
  <si>
    <t>HELYI ÖNKORMÁNYZATOK KIEGÉSZÍTŐ TÁMOGATÁSAI MINDÖSSZESEN</t>
  </si>
  <si>
    <t>KVTV. 2. ÉS 3. MELLÉKLETE SZERINTI TÁMOGATÁSOK MINDÖSSZESEN</t>
  </si>
  <si>
    <t>TÁJÉKOZTATÓ ADAT</t>
  </si>
  <si>
    <t>Közös működtetési támogatás</t>
  </si>
  <si>
    <t xml:space="preserve">                            Mesebolt Bábszínház</t>
  </si>
  <si>
    <t xml:space="preserve">                            Weöres Sándor Színház Nonprofit Kft.</t>
  </si>
  <si>
    <t>MINDÖSSZESEN</t>
  </si>
  <si>
    <t>2022. év eredeti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</si>
</sst>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"/>
  </numFmts>
  <fonts count="188" x14ac:knownFonts="1">
    <font>
      <sz val="8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Times New Roman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2"/>
      <color indexed="10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4"/>
      <name val="Arial CE"/>
      <family val="2"/>
      <charset val="238"/>
    </font>
    <font>
      <b/>
      <sz val="12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4"/>
      <color indexed="10"/>
      <name val="Arial CE"/>
      <family val="2"/>
      <charset val="238"/>
    </font>
    <font>
      <sz val="12"/>
      <name val="Arial"/>
      <family val="2"/>
      <charset val="238"/>
    </font>
    <font>
      <sz val="14"/>
      <name val="Arial CE"/>
      <family val="2"/>
      <charset val="238"/>
    </font>
    <font>
      <b/>
      <sz val="14"/>
      <name val="Arial CE"/>
      <charset val="238"/>
    </font>
    <font>
      <b/>
      <i/>
      <sz val="12"/>
      <name val="Arial CE"/>
      <charset val="238"/>
    </font>
    <font>
      <sz val="12"/>
      <color indexed="8"/>
      <name val="garamond"/>
      <family val="2"/>
      <charset val="238"/>
    </font>
    <font>
      <sz val="12"/>
      <color indexed="9"/>
      <name val="garamond"/>
      <family val="2"/>
      <charset val="238"/>
    </font>
    <font>
      <sz val="12"/>
      <color indexed="20"/>
      <name val="garamond"/>
      <family val="2"/>
      <charset val="238"/>
    </font>
    <font>
      <b/>
      <sz val="12"/>
      <color indexed="52"/>
      <name val="garamond"/>
      <family val="2"/>
      <charset val="238"/>
    </font>
    <font>
      <b/>
      <sz val="12"/>
      <color indexed="9"/>
      <name val="garamond"/>
      <family val="2"/>
      <charset val="238"/>
    </font>
    <font>
      <i/>
      <sz val="12"/>
      <color indexed="23"/>
      <name val="garamond"/>
      <family val="2"/>
      <charset val="238"/>
    </font>
    <font>
      <sz val="12"/>
      <color indexed="17"/>
      <name val="garamond"/>
      <family val="2"/>
      <charset val="238"/>
    </font>
    <font>
      <b/>
      <sz val="15"/>
      <color indexed="56"/>
      <name val="garamond"/>
      <family val="2"/>
      <charset val="238"/>
    </font>
    <font>
      <b/>
      <sz val="13"/>
      <color indexed="56"/>
      <name val="garamond"/>
      <family val="2"/>
      <charset val="238"/>
    </font>
    <font>
      <b/>
      <sz val="11"/>
      <color indexed="56"/>
      <name val="garamond"/>
      <family val="2"/>
      <charset val="238"/>
    </font>
    <font>
      <sz val="12"/>
      <color indexed="62"/>
      <name val="garamond"/>
      <family val="2"/>
      <charset val="238"/>
    </font>
    <font>
      <sz val="12"/>
      <color indexed="52"/>
      <name val="garamond"/>
      <family val="2"/>
      <charset val="238"/>
    </font>
    <font>
      <sz val="12"/>
      <color indexed="60"/>
      <name val="garamond"/>
      <family val="2"/>
      <charset val="238"/>
    </font>
    <font>
      <b/>
      <sz val="12"/>
      <color indexed="63"/>
      <name val="garamond"/>
      <family val="2"/>
      <charset val="238"/>
    </font>
    <font>
      <b/>
      <sz val="18"/>
      <color indexed="56"/>
      <name val="Cambria"/>
      <family val="2"/>
      <charset val="238"/>
    </font>
    <font>
      <b/>
      <sz val="12"/>
      <color indexed="8"/>
      <name val="garamond"/>
      <family val="2"/>
      <charset val="238"/>
    </font>
    <font>
      <sz val="12"/>
      <color indexed="10"/>
      <name val="garamond"/>
      <family val="2"/>
      <charset val="238"/>
    </font>
    <font>
      <b/>
      <i/>
      <sz val="12"/>
      <name val="Arial"/>
      <family val="2"/>
      <charset val="238"/>
    </font>
    <font>
      <b/>
      <sz val="16"/>
      <name val="Arial CE"/>
      <family val="2"/>
      <charset val="238"/>
    </font>
    <font>
      <sz val="14"/>
      <name val="Arial CE"/>
      <charset val="238"/>
    </font>
    <font>
      <sz val="16"/>
      <name val="Arial CE"/>
      <family val="2"/>
      <charset val="238"/>
    </font>
    <font>
      <sz val="11"/>
      <color indexed="8"/>
      <name val="Calibri"/>
      <family val="2"/>
    </font>
    <font>
      <b/>
      <i/>
      <sz val="16"/>
      <name val="Arial CE"/>
      <charset val="238"/>
    </font>
    <font>
      <sz val="16"/>
      <name val="Times New Roman CE"/>
      <charset val="238"/>
    </font>
    <font>
      <b/>
      <sz val="16"/>
      <name val="Arial CE"/>
      <charset val="238"/>
    </font>
    <font>
      <b/>
      <sz val="16"/>
      <name val="Times New Roman CE"/>
      <charset val="238"/>
    </font>
    <font>
      <sz val="12"/>
      <color rgb="FFFF0000"/>
      <name val="Arial CE"/>
      <family val="2"/>
      <charset val="238"/>
    </font>
    <font>
      <sz val="14"/>
      <color theme="1"/>
      <name val="Arial CE"/>
      <family val="2"/>
      <charset val="238"/>
    </font>
    <font>
      <sz val="12"/>
      <color theme="1"/>
      <name val="Arial CE"/>
      <family val="2"/>
      <charset val="238"/>
    </font>
    <font>
      <sz val="12"/>
      <color theme="1"/>
      <name val="Arial CE"/>
      <charset val="238"/>
    </font>
    <font>
      <b/>
      <sz val="13"/>
      <name val="Arial CE"/>
      <charset val="238"/>
    </font>
    <font>
      <sz val="14"/>
      <name val="Arial"/>
      <family val="2"/>
      <charset val="238"/>
    </font>
    <font>
      <sz val="13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1"/>
      <name val="Arial CE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Times New Roman CE"/>
      <charset val="238"/>
    </font>
    <font>
      <sz val="11"/>
      <name val="Arial"/>
      <family val="2"/>
    </font>
    <font>
      <sz val="12"/>
      <color indexed="10"/>
      <name val="Times New Roman CE"/>
      <charset val="238"/>
    </font>
    <font>
      <sz val="14"/>
      <color indexed="10"/>
      <name val="Arial"/>
      <family val="2"/>
    </font>
    <font>
      <sz val="14"/>
      <name val="Arial"/>
      <family val="2"/>
    </font>
    <font>
      <sz val="12"/>
      <color indexed="10"/>
      <name val="Arial"/>
      <family val="2"/>
    </font>
    <font>
      <b/>
      <i/>
      <sz val="14"/>
      <name val="Arial"/>
      <family val="2"/>
    </font>
    <font>
      <b/>
      <sz val="11"/>
      <name val="Arial CE"/>
      <charset val="238"/>
    </font>
    <font>
      <sz val="10"/>
      <color indexed="8"/>
      <name val="MS Sans Serif"/>
      <charset val="238"/>
    </font>
    <font>
      <b/>
      <sz val="14"/>
      <color theme="1"/>
      <name val="Arial"/>
      <family val="2"/>
      <charset val="238"/>
    </font>
    <font>
      <sz val="12"/>
      <color indexed="8"/>
      <name val="Arial"/>
      <family val="2"/>
      <charset val="238"/>
    </font>
    <font>
      <u/>
      <sz val="14"/>
      <name val="Arial CE"/>
      <charset val="238"/>
    </font>
    <font>
      <u/>
      <sz val="12"/>
      <name val="Arial CE"/>
      <family val="2"/>
      <charset val="238"/>
    </font>
    <font>
      <sz val="10"/>
      <name val="Arial"/>
      <family val="2"/>
      <charset val="238"/>
    </font>
    <font>
      <sz val="18"/>
      <color theme="1"/>
      <name val="Arial CE"/>
      <family val="2"/>
      <charset val="238"/>
    </font>
    <font>
      <b/>
      <sz val="12"/>
      <color indexed="10"/>
      <name val="Arial CE"/>
      <charset val="238"/>
    </font>
    <font>
      <sz val="18"/>
      <color theme="1"/>
      <name val="Arial CE"/>
      <charset val="238"/>
    </font>
    <font>
      <b/>
      <sz val="14"/>
      <name val="Calibri"/>
      <family val="2"/>
      <charset val="238"/>
    </font>
    <font>
      <sz val="14"/>
      <name val="Calibri"/>
      <family val="2"/>
      <charset val="238"/>
    </font>
    <font>
      <sz val="14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sz val="36"/>
      <name val="Calibri"/>
      <family val="2"/>
      <charset val="238"/>
      <scheme val="minor"/>
    </font>
    <font>
      <b/>
      <sz val="30"/>
      <name val="Calibri"/>
      <family val="2"/>
      <charset val="238"/>
      <scheme val="minor"/>
    </font>
    <font>
      <b/>
      <sz val="36"/>
      <name val="Arial CE"/>
      <charset val="238"/>
    </font>
    <font>
      <b/>
      <sz val="44"/>
      <name val="Calibri"/>
      <family val="2"/>
      <charset val="238"/>
      <scheme val="minor"/>
    </font>
    <font>
      <b/>
      <sz val="44"/>
      <name val="Arial CE"/>
      <charset val="238"/>
    </font>
    <font>
      <b/>
      <sz val="34"/>
      <name val="Calibri"/>
      <family val="2"/>
      <charset val="238"/>
      <scheme val="minor"/>
    </font>
    <font>
      <b/>
      <sz val="34"/>
      <name val="Arial CE"/>
      <charset val="238"/>
    </font>
    <font>
      <b/>
      <sz val="36"/>
      <color indexed="10"/>
      <name val="Calibri"/>
      <family val="2"/>
      <charset val="238"/>
      <scheme val="minor"/>
    </font>
    <font>
      <b/>
      <sz val="36"/>
      <color indexed="10"/>
      <name val="Arial CE"/>
      <charset val="238"/>
    </font>
    <font>
      <b/>
      <sz val="30"/>
      <name val="Arial CE"/>
      <charset val="238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sz val="36"/>
      <name val="Arial CE"/>
      <family val="2"/>
      <charset val="238"/>
    </font>
    <font>
      <b/>
      <sz val="2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20"/>
      <color indexed="1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20"/>
      <color indexed="10"/>
      <name val="Calibri"/>
      <family val="2"/>
      <charset val="238"/>
      <scheme val="minor"/>
    </font>
    <font>
      <b/>
      <sz val="20"/>
      <color indexed="10"/>
      <name val="Arial CE"/>
      <charset val="238"/>
    </font>
    <font>
      <b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sz val="16"/>
      <name val="Arial CE"/>
      <charset val="238"/>
    </font>
    <font>
      <b/>
      <sz val="26"/>
      <name val="Calibri"/>
      <family val="2"/>
      <charset val="238"/>
      <scheme val="minor"/>
    </font>
    <font>
      <b/>
      <sz val="26"/>
      <name val="Arial CE"/>
      <family val="2"/>
      <charset val="238"/>
    </font>
    <font>
      <sz val="26"/>
      <name val="Times New Roman CE"/>
      <charset val="238"/>
    </font>
    <font>
      <b/>
      <sz val="26"/>
      <name val="Times New Roman CE"/>
      <charset val="238"/>
    </font>
    <font>
      <b/>
      <u/>
      <sz val="26"/>
      <name val="Calibri"/>
      <family val="2"/>
      <charset val="238"/>
      <scheme val="minor"/>
    </font>
    <font>
      <sz val="26"/>
      <name val="Calibri"/>
      <family val="2"/>
      <charset val="238"/>
      <scheme val="minor"/>
    </font>
    <font>
      <sz val="28"/>
      <name val="Calibri"/>
      <family val="2"/>
      <charset val="238"/>
      <scheme val="minor"/>
    </font>
    <font>
      <b/>
      <sz val="26"/>
      <color indexed="10"/>
      <name val="Arial CE"/>
      <family val="2"/>
      <charset val="238"/>
    </font>
    <font>
      <b/>
      <sz val="16"/>
      <color indexed="10"/>
      <name val="Arial CE"/>
      <family val="2"/>
      <charset val="238"/>
    </font>
    <font>
      <b/>
      <sz val="20"/>
      <color indexed="10"/>
      <name val="Arial CE"/>
      <family val="2"/>
      <charset val="238"/>
    </font>
    <font>
      <sz val="16"/>
      <color indexed="10"/>
      <name val="Times New Roman CE"/>
      <charset val="238"/>
    </font>
    <font>
      <b/>
      <sz val="28"/>
      <color indexed="10"/>
      <name val="Arial CE"/>
      <family val="2"/>
      <charset val="238"/>
    </font>
    <font>
      <b/>
      <sz val="22"/>
      <color indexed="10"/>
      <name val="Arial CE"/>
      <family val="2"/>
      <charset val="238"/>
    </font>
    <font>
      <b/>
      <sz val="22"/>
      <name val="Arial CE"/>
      <family val="2"/>
      <charset val="238"/>
    </font>
    <font>
      <b/>
      <sz val="24"/>
      <name val="Arial CE"/>
      <family val="2"/>
      <charset val="238"/>
    </font>
    <font>
      <b/>
      <i/>
      <sz val="12"/>
      <name val="Calibri"/>
      <family val="2"/>
      <charset val="238"/>
      <scheme val="minor"/>
    </font>
    <font>
      <i/>
      <u/>
      <sz val="14"/>
      <name val="Calibri"/>
      <family val="2"/>
      <charset val="238"/>
      <scheme val="minor"/>
    </font>
    <font>
      <b/>
      <i/>
      <u/>
      <sz val="14"/>
      <name val="Calibri"/>
      <family val="2"/>
      <charset val="238"/>
      <scheme val="minor"/>
    </font>
    <font>
      <i/>
      <sz val="14"/>
      <name val="Calibri"/>
      <family val="2"/>
      <charset val="238"/>
    </font>
    <font>
      <b/>
      <sz val="14"/>
      <color indexed="10"/>
      <name val="Calibri"/>
      <family val="2"/>
      <charset val="238"/>
      <scheme val="minor"/>
    </font>
    <font>
      <u/>
      <sz val="14"/>
      <name val="Calibri"/>
      <family val="2"/>
      <charset val="238"/>
    </font>
    <font>
      <b/>
      <i/>
      <sz val="14"/>
      <name val="Calibri"/>
      <family val="2"/>
      <charset val="238"/>
    </font>
    <font>
      <sz val="14"/>
      <color indexed="10"/>
      <name val="Calibri"/>
      <family val="2"/>
      <charset val="238"/>
      <scheme val="minor"/>
    </font>
    <font>
      <sz val="14"/>
      <color rgb="FFFF0000"/>
      <name val="Calibri"/>
      <family val="2"/>
      <charset val="238"/>
    </font>
    <font>
      <b/>
      <u/>
      <sz val="14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4"/>
      <color indexed="8"/>
      <name val="Calibri"/>
      <family val="2"/>
      <charset val="238"/>
    </font>
    <font>
      <b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32"/>
      <name val="Calibri"/>
      <family val="2"/>
      <charset val="238"/>
      <scheme val="minor"/>
    </font>
    <font>
      <b/>
      <sz val="32"/>
      <name val="Calibri"/>
      <family val="2"/>
      <charset val="238"/>
      <scheme val="minor"/>
    </font>
    <font>
      <b/>
      <i/>
      <sz val="32"/>
      <name val="Calibri"/>
      <family val="2"/>
      <charset val="238"/>
      <scheme val="minor"/>
    </font>
    <font>
      <b/>
      <sz val="36"/>
      <color theme="1"/>
      <name val="Calibri"/>
      <family val="2"/>
      <charset val="238"/>
      <scheme val="minor"/>
    </font>
    <font>
      <b/>
      <sz val="30"/>
      <color theme="1"/>
      <name val="Calibri"/>
      <family val="2"/>
      <charset val="238"/>
      <scheme val="minor"/>
    </font>
    <font>
      <b/>
      <sz val="44"/>
      <color theme="1"/>
      <name val="Calibri"/>
      <family val="2"/>
      <charset val="238"/>
      <scheme val="minor"/>
    </font>
    <font>
      <b/>
      <sz val="34"/>
      <color theme="1"/>
      <name val="Calibri"/>
      <family val="2"/>
      <charset val="238"/>
      <scheme val="minor"/>
    </font>
    <font>
      <sz val="34"/>
      <color theme="1"/>
      <name val="Calibri"/>
      <family val="2"/>
      <charset val="238"/>
      <scheme val="minor"/>
    </font>
    <font>
      <b/>
      <i/>
      <sz val="34"/>
      <color theme="1"/>
      <name val="Calibri"/>
      <family val="2"/>
      <charset val="238"/>
      <scheme val="minor"/>
    </font>
    <font>
      <b/>
      <sz val="36"/>
      <color theme="1"/>
      <name val="Arial CE"/>
      <charset val="238"/>
    </font>
    <font>
      <b/>
      <sz val="30"/>
      <color theme="1"/>
      <name val="Arial CE"/>
      <charset val="238"/>
    </font>
    <font>
      <b/>
      <sz val="32"/>
      <name val="Arial CE"/>
      <charset val="238"/>
    </font>
    <font>
      <u/>
      <sz val="12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</fills>
  <borders count="15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auto="1"/>
      </bottom>
      <diagonal/>
    </border>
    <border>
      <left style="medium">
        <color indexed="64"/>
      </left>
      <right/>
      <top style="double">
        <color auto="1"/>
      </top>
      <bottom/>
      <diagonal/>
    </border>
    <border>
      <left style="medium">
        <color auto="1"/>
      </left>
      <right style="medium">
        <color indexed="64"/>
      </right>
      <top style="double">
        <color auto="1"/>
      </top>
      <bottom/>
      <diagonal/>
    </border>
    <border>
      <left style="thin">
        <color indexed="64"/>
      </left>
      <right style="medium">
        <color indexed="64"/>
      </right>
      <top style="double">
        <color auto="1"/>
      </top>
      <bottom/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medium">
        <color indexed="64"/>
      </bottom>
      <diagonal/>
    </border>
  </borders>
  <cellStyleXfs count="109">
    <xf numFmtId="0" fontId="0" fillId="0" borderId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6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8" borderId="0" applyNumberFormat="0" applyBorder="0" applyAlignment="0" applyProtection="0"/>
    <xf numFmtId="0" fontId="39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5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6" borderId="0" applyNumberFormat="0" applyBorder="0" applyAlignment="0" applyProtection="0"/>
    <xf numFmtId="0" fontId="39" fillId="4" borderId="0" applyNumberFormat="0" applyBorder="0" applyAlignment="0" applyProtection="0"/>
    <xf numFmtId="0" fontId="39" fillId="5" borderId="0" applyNumberFormat="0" applyBorder="0" applyAlignment="0" applyProtection="0"/>
    <xf numFmtId="0" fontId="39" fillId="16" borderId="0" applyNumberFormat="0" applyBorder="0" applyAlignment="0" applyProtection="0"/>
    <xf numFmtId="0" fontId="39" fillId="12" borderId="0" applyNumberFormat="0" applyBorder="0" applyAlignment="0" applyProtection="0"/>
    <xf numFmtId="0" fontId="39" fillId="4" borderId="0" applyNumberFormat="0" applyBorder="0" applyAlignment="0" applyProtection="0"/>
    <xf numFmtId="0" fontId="39" fillId="13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13" borderId="0" applyNumberFormat="0" applyBorder="0" applyAlignment="0" applyProtection="0"/>
    <xf numFmtId="0" fontId="19" fillId="10" borderId="0" applyNumberFormat="0" applyBorder="0" applyAlignment="0" applyProtection="0"/>
    <xf numFmtId="0" fontId="19" fillId="8" borderId="0" applyNumberFormat="0" applyBorder="0" applyAlignment="0" applyProtection="0"/>
    <xf numFmtId="0" fontId="19" fillId="5" borderId="0" applyNumberFormat="0" applyBorder="0" applyAlignment="0" applyProtection="0"/>
    <xf numFmtId="0" fontId="40" fillId="19" borderId="0" applyNumberFormat="0" applyBorder="0" applyAlignment="0" applyProtection="0"/>
    <xf numFmtId="0" fontId="40" fillId="5" borderId="0" applyNumberFormat="0" applyBorder="0" applyAlignment="0" applyProtection="0"/>
    <xf numFmtId="0" fontId="40" fillId="16" borderId="0" applyNumberFormat="0" applyBorder="0" applyAlignment="0" applyProtection="0"/>
    <xf numFmtId="0" fontId="40" fillId="20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2" borderId="0" applyNumberFormat="0" applyBorder="0" applyAlignment="0" applyProtection="0"/>
    <xf numFmtId="0" fontId="40" fillId="18" borderId="0" applyNumberFormat="0" applyBorder="0" applyAlignment="0" applyProtection="0"/>
    <xf numFmtId="0" fontId="40" fillId="23" borderId="0" applyNumberFormat="0" applyBorder="0" applyAlignment="0" applyProtection="0"/>
    <xf numFmtId="0" fontId="40" fillId="20" borderId="0" applyNumberFormat="0" applyBorder="0" applyAlignment="0" applyProtection="0"/>
    <xf numFmtId="0" fontId="40" fillId="17" borderId="0" applyNumberFormat="0" applyBorder="0" applyAlignment="0" applyProtection="0"/>
    <xf numFmtId="0" fontId="40" fillId="3" borderId="0" applyNumberFormat="0" applyBorder="0" applyAlignment="0" applyProtection="0"/>
    <xf numFmtId="0" fontId="41" fillId="10" borderId="0" applyNumberFormat="0" applyBorder="0" applyAlignment="0" applyProtection="0"/>
    <xf numFmtId="0" fontId="20" fillId="15" borderId="1" applyNumberFormat="0" applyAlignment="0" applyProtection="0"/>
    <xf numFmtId="0" fontId="42" fillId="24" borderId="1" applyNumberFormat="0" applyAlignment="0" applyProtection="0"/>
    <xf numFmtId="0" fontId="43" fillId="25" borderId="2" applyNumberFormat="0" applyAlignment="0" applyProtection="0"/>
    <xf numFmtId="0" fontId="21" fillId="0" borderId="0" applyNumberFormat="0" applyFill="0" applyBorder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25" borderId="2" applyNumberFormat="0" applyAlignment="0" applyProtection="0"/>
    <xf numFmtId="0" fontId="4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5" fillId="11" borderId="0" applyNumberFormat="0" applyBorder="0" applyAlignment="0" applyProtection="0"/>
    <xf numFmtId="0" fontId="46" fillId="0" borderId="6" applyNumberFormat="0" applyFill="0" applyAlignment="0" applyProtection="0"/>
    <xf numFmtId="0" fontId="47" fillId="0" borderId="7" applyNumberFormat="0" applyFill="0" applyAlignment="0" applyProtection="0"/>
    <xf numFmtId="0" fontId="48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49" fillId="7" borderId="1" applyNumberFormat="0" applyAlignment="0" applyProtection="0"/>
    <xf numFmtId="0" fontId="7" fillId="6" borderId="10" applyNumberFormat="0" applyFont="0" applyAlignment="0" applyProtection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27" fillId="8" borderId="0" applyNumberFormat="0" applyBorder="0" applyAlignment="0" applyProtection="0"/>
    <xf numFmtId="0" fontId="28" fillId="26" borderId="11" applyNumberFormat="0" applyAlignment="0" applyProtection="0"/>
    <xf numFmtId="0" fontId="50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51" fillId="15" borderId="0" applyNumberFormat="0" applyBorder="0" applyAlignment="0" applyProtection="0"/>
    <xf numFmtId="0" fontId="60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39" fillId="6" borderId="10" applyNumberFormat="0" applyFont="0" applyAlignment="0" applyProtection="0"/>
    <xf numFmtId="0" fontId="52" fillId="24" borderId="11" applyNumberFormat="0" applyAlignment="0" applyProtection="0"/>
    <xf numFmtId="0" fontId="30" fillId="0" borderId="13" applyNumberFormat="0" applyFill="0" applyAlignment="0" applyProtection="0"/>
    <xf numFmtId="0" fontId="31" fillId="12" borderId="0" applyNumberFormat="0" applyBorder="0" applyAlignment="0" applyProtection="0"/>
    <xf numFmtId="0" fontId="32" fillId="15" borderId="0" applyNumberFormat="0" applyBorder="0" applyAlignment="0" applyProtection="0"/>
    <xf numFmtId="0" fontId="33" fillId="26" borderId="1" applyNumberFormat="0" applyAlignment="0" applyProtection="0"/>
    <xf numFmtId="0" fontId="53" fillId="0" borderId="0" applyNumberFormat="0" applyFill="0" applyBorder="0" applyAlignment="0" applyProtection="0"/>
    <xf numFmtId="0" fontId="54" fillId="0" borderId="14" applyNumberFormat="0" applyFill="0" applyAlignment="0" applyProtection="0"/>
    <xf numFmtId="0" fontId="55" fillId="0" borderId="0" applyNumberFormat="0" applyFill="0" applyBorder="0" applyAlignment="0" applyProtection="0"/>
    <xf numFmtId="0" fontId="12" fillId="0" borderId="0"/>
    <xf numFmtId="0" fontId="8" fillId="0" borderId="0"/>
    <xf numFmtId="0" fontId="8" fillId="0" borderId="0"/>
    <xf numFmtId="0" fontId="92" fillId="0" borderId="0"/>
    <xf numFmtId="0" fontId="92" fillId="0" borderId="0"/>
    <xf numFmtId="0" fontId="8" fillId="0" borderId="0"/>
    <xf numFmtId="0" fontId="8" fillId="0" borderId="0"/>
    <xf numFmtId="0" fontId="92" fillId="0" borderId="0"/>
    <xf numFmtId="0" fontId="92" fillId="0" borderId="0"/>
    <xf numFmtId="0" fontId="92" fillId="0" borderId="0"/>
    <xf numFmtId="0" fontId="100" fillId="0" borderId="0"/>
    <xf numFmtId="0" fontId="7" fillId="0" borderId="0"/>
    <xf numFmtId="0" fontId="105" fillId="0" borderId="0"/>
    <xf numFmtId="0" fontId="92" fillId="0" borderId="0"/>
    <xf numFmtId="0" fontId="8" fillId="0" borderId="0"/>
    <xf numFmtId="0" fontId="92" fillId="0" borderId="0"/>
    <xf numFmtId="0" fontId="92" fillId="0" borderId="0"/>
    <xf numFmtId="0" fontId="105" fillId="0" borderId="0"/>
    <xf numFmtId="0" fontId="2" fillId="0" borderId="0"/>
    <xf numFmtId="0" fontId="7" fillId="0" borderId="0"/>
    <xf numFmtId="0" fontId="1" fillId="0" borderId="0"/>
  </cellStyleXfs>
  <cellXfs count="2225">
    <xf numFmtId="0" fontId="0" fillId="0" borderId="0" xfId="0"/>
    <xf numFmtId="0" fontId="10" fillId="0" borderId="0" xfId="0" applyFont="1"/>
    <xf numFmtId="3" fontId="9" fillId="0" borderId="0" xfId="0" applyNumberFormat="1" applyFont="1"/>
    <xf numFmtId="3" fontId="10" fillId="0" borderId="0" xfId="0" applyNumberFormat="1" applyFont="1"/>
    <xf numFmtId="0" fontId="9" fillId="0" borderId="0" xfId="0" applyFont="1"/>
    <xf numFmtId="3" fontId="10" fillId="0" borderId="0" xfId="0" applyNumberFormat="1" applyFont="1" applyProtection="1">
      <protection locked="0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77" applyFont="1"/>
    <xf numFmtId="3" fontId="10" fillId="0" borderId="0" xfId="77" applyNumberFormat="1" applyFont="1"/>
    <xf numFmtId="3" fontId="14" fillId="0" borderId="0" xfId="0" applyNumberFormat="1" applyFont="1"/>
    <xf numFmtId="0" fontId="17" fillId="0" borderId="0" xfId="0" applyFont="1"/>
    <xf numFmtId="3" fontId="9" fillId="0" borderId="0" xfId="0" applyNumberFormat="1" applyFont="1" applyAlignment="1">
      <alignment horizontal="left"/>
    </xf>
    <xf numFmtId="0" fontId="9" fillId="27" borderId="0" xfId="0" applyFont="1" applyFill="1" applyAlignment="1">
      <alignment horizontal="center"/>
    </xf>
    <xf numFmtId="0" fontId="38" fillId="0" borderId="0" xfId="0" applyFont="1"/>
    <xf numFmtId="0" fontId="13" fillId="0" borderId="0" xfId="77" applyFont="1"/>
    <xf numFmtId="3" fontId="10" fillId="0" borderId="0" xfId="77" applyNumberFormat="1" applyFont="1" applyAlignment="1">
      <alignment horizontal="right"/>
    </xf>
    <xf numFmtId="0" fontId="10" fillId="0" borderId="0" xfId="77" applyFont="1" applyAlignment="1">
      <alignment horizontal="center"/>
    </xf>
    <xf numFmtId="0" fontId="9" fillId="0" borderId="0" xfId="77" applyFont="1" applyAlignment="1">
      <alignment horizontal="center"/>
    </xf>
    <xf numFmtId="3" fontId="36" fillId="0" borderId="0" xfId="0" applyNumberFormat="1" applyFont="1"/>
    <xf numFmtId="3" fontId="34" fillId="0" borderId="0" xfId="0" applyNumberFormat="1" applyFont="1"/>
    <xf numFmtId="3" fontId="16" fillId="0" borderId="0" xfId="0" applyNumberFormat="1" applyFont="1"/>
    <xf numFmtId="0" fontId="15" fillId="0" borderId="0" xfId="0" applyFont="1" applyAlignment="1">
      <alignment horizontal="center"/>
    </xf>
    <xf numFmtId="3" fontId="57" fillId="0" borderId="0" xfId="0" applyNumberFormat="1" applyFont="1"/>
    <xf numFmtId="3" fontId="38" fillId="0" borderId="0" xfId="0" applyNumberFormat="1" applyFont="1"/>
    <xf numFmtId="0" fontId="11" fillId="0" borderId="18" xfId="0" applyFont="1" applyBorder="1" applyAlignment="1">
      <alignment horizontal="justify"/>
    </xf>
    <xf numFmtId="3" fontId="10" fillId="0" borderId="0" xfId="0" applyNumberFormat="1" applyFont="1" applyAlignment="1">
      <alignment wrapText="1"/>
    </xf>
    <xf numFmtId="0" fontId="38" fillId="0" borderId="0" xfId="77" applyFont="1" applyAlignment="1">
      <alignment horizontal="left"/>
    </xf>
    <xf numFmtId="0" fontId="11" fillId="0" borderId="0" xfId="0" applyFont="1" applyAlignment="1">
      <alignment horizontal="justify"/>
    </xf>
    <xf numFmtId="0" fontId="17" fillId="0" borderId="0" xfId="77" applyFont="1"/>
    <xf numFmtId="0" fontId="38" fillId="0" borderId="0" xfId="77" applyFont="1"/>
    <xf numFmtId="3" fontId="56" fillId="0" borderId="0" xfId="0" applyNumberFormat="1" applyFont="1" applyAlignment="1">
      <alignment horizontal="right"/>
    </xf>
    <xf numFmtId="3" fontId="35" fillId="0" borderId="0" xfId="0" applyNumberFormat="1" applyFont="1" applyAlignment="1">
      <alignment horizontal="right"/>
    </xf>
    <xf numFmtId="0" fontId="59" fillId="0" borderId="0" xfId="0" applyFont="1"/>
    <xf numFmtId="0" fontId="36" fillId="0" borderId="0" xfId="0" applyFont="1"/>
    <xf numFmtId="0" fontId="10" fillId="0" borderId="0" xfId="0" applyFont="1" applyAlignment="1">
      <alignment horizontal="justify"/>
    </xf>
    <xf numFmtId="3" fontId="59" fillId="0" borderId="0" xfId="0" applyNumberFormat="1" applyFont="1"/>
    <xf numFmtId="0" fontId="61" fillId="0" borderId="0" xfId="0" applyFont="1"/>
    <xf numFmtId="3" fontId="62" fillId="0" borderId="0" xfId="0" applyNumberFormat="1" applyFont="1"/>
    <xf numFmtId="0" fontId="62" fillId="0" borderId="0" xfId="0" applyFont="1"/>
    <xf numFmtId="0" fontId="63" fillId="0" borderId="0" xfId="0" applyFont="1"/>
    <xf numFmtId="0" fontId="57" fillId="0" borderId="0" xfId="0" applyFont="1"/>
    <xf numFmtId="3" fontId="63" fillId="0" borderId="0" xfId="0" applyNumberFormat="1" applyFont="1"/>
    <xf numFmtId="3" fontId="64" fillId="0" borderId="0" xfId="0" applyNumberFormat="1" applyFont="1"/>
    <xf numFmtId="0" fontId="64" fillId="0" borderId="0" xfId="0" applyFont="1"/>
    <xf numFmtId="0" fontId="58" fillId="0" borderId="0" xfId="77" applyFont="1"/>
    <xf numFmtId="3" fontId="58" fillId="0" borderId="0" xfId="77" applyNumberFormat="1" applyFont="1"/>
    <xf numFmtId="3" fontId="66" fillId="0" borderId="0" xfId="77" applyNumberFormat="1" applyFont="1"/>
    <xf numFmtId="3" fontId="71" fillId="0" borderId="0" xfId="0" applyNumberFormat="1" applyFont="1" applyAlignment="1">
      <alignment horizontal="right"/>
    </xf>
    <xf numFmtId="3" fontId="35" fillId="0" borderId="0" xfId="0" applyNumberFormat="1" applyFont="1"/>
    <xf numFmtId="4" fontId="10" fillId="0" borderId="0" xfId="0" applyNumberFormat="1" applyFont="1"/>
    <xf numFmtId="4" fontId="38" fillId="0" borderId="0" xfId="0" applyNumberFormat="1" applyFont="1"/>
    <xf numFmtId="2" fontId="10" fillId="0" borderId="0" xfId="77" applyNumberFormat="1" applyFont="1"/>
    <xf numFmtId="3" fontId="69" fillId="0" borderId="0" xfId="0" applyNumberFormat="1" applyFont="1" applyAlignment="1">
      <alignment horizontal="center"/>
    </xf>
    <xf numFmtId="3" fontId="69" fillId="0" borderId="0" xfId="0" applyNumberFormat="1" applyFont="1"/>
    <xf numFmtId="3" fontId="71" fillId="0" borderId="0" xfId="0" applyNumberFormat="1" applyFont="1"/>
    <xf numFmtId="4" fontId="64" fillId="0" borderId="0" xfId="0" applyNumberFormat="1" applyFont="1"/>
    <xf numFmtId="0" fontId="72" fillId="0" borderId="0" xfId="0" applyFont="1" applyAlignment="1">
      <alignment horizontal="center"/>
    </xf>
    <xf numFmtId="0" fontId="73" fillId="0" borderId="0" xfId="0" applyFont="1"/>
    <xf numFmtId="0" fontId="73" fillId="0" borderId="16" xfId="0" applyFont="1" applyBorder="1"/>
    <xf numFmtId="0" fontId="72" fillId="0" borderId="16" xfId="0" applyFont="1" applyBorder="1"/>
    <xf numFmtId="3" fontId="73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72" fillId="0" borderId="23" xfId="0" applyFont="1" applyBorder="1" applyAlignment="1">
      <alignment horizontal="left"/>
    </xf>
    <xf numFmtId="0" fontId="73" fillId="0" borderId="46" xfId="0" applyFont="1" applyBorder="1"/>
    <xf numFmtId="0" fontId="72" fillId="0" borderId="46" xfId="0" applyFont="1" applyBorder="1"/>
    <xf numFmtId="0" fontId="72" fillId="0" borderId="83" xfId="0" applyFont="1" applyBorder="1" applyAlignment="1">
      <alignment horizontal="center"/>
    </xf>
    <xf numFmtId="0" fontId="73" fillId="0" borderId="19" xfId="0" applyFont="1" applyBorder="1"/>
    <xf numFmtId="0" fontId="72" fillId="0" borderId="16" xfId="0" applyFont="1" applyBorder="1" applyAlignment="1">
      <alignment horizontal="left"/>
    </xf>
    <xf numFmtId="0" fontId="72" fillId="0" borderId="16" xfId="0" applyFont="1" applyBorder="1" applyAlignment="1">
      <alignment horizontal="right"/>
    </xf>
    <xf numFmtId="0" fontId="72" fillId="0" borderId="70" xfId="0" applyFont="1" applyBorder="1" applyAlignment="1">
      <alignment horizontal="center"/>
    </xf>
    <xf numFmtId="0" fontId="72" fillId="0" borderId="23" xfId="0" applyFont="1" applyBorder="1"/>
    <xf numFmtId="0" fontId="72" fillId="0" borderId="46" xfId="0" applyFont="1" applyBorder="1" applyAlignment="1">
      <alignment horizontal="left"/>
    </xf>
    <xf numFmtId="0" fontId="72" fillId="0" borderId="53" xfId="0" applyFont="1" applyBorder="1" applyAlignment="1">
      <alignment horizontal="left"/>
    </xf>
    <xf numFmtId="3" fontId="72" fillId="0" borderId="23" xfId="0" applyNumberFormat="1" applyFont="1" applyBorder="1"/>
    <xf numFmtId="0" fontId="75" fillId="0" borderId="18" xfId="0" applyFont="1" applyBorder="1"/>
    <xf numFmtId="0" fontId="75" fillId="0" borderId="50" xfId="0" applyFont="1" applyBorder="1"/>
    <xf numFmtId="3" fontId="75" fillId="0" borderId="85" xfId="0" applyNumberFormat="1" applyFont="1" applyBorder="1" applyProtection="1">
      <protection locked="0"/>
    </xf>
    <xf numFmtId="0" fontId="75" fillId="0" borderId="24" xfId="0" applyFont="1" applyBorder="1"/>
    <xf numFmtId="3" fontId="75" fillId="0" borderId="88" xfId="0" applyNumberFormat="1" applyFont="1" applyBorder="1" applyProtection="1">
      <protection locked="0"/>
    </xf>
    <xf numFmtId="0" fontId="75" fillId="0" borderId="0" xfId="0" applyFont="1"/>
    <xf numFmtId="0" fontId="76" fillId="0" borderId="0" xfId="0" applyFont="1"/>
    <xf numFmtId="0" fontId="73" fillId="0" borderId="18" xfId="0" applyFont="1" applyBorder="1"/>
    <xf numFmtId="0" fontId="73" fillId="0" borderId="50" xfId="0" applyFont="1" applyBorder="1"/>
    <xf numFmtId="0" fontId="73" fillId="0" borderId="37" xfId="0" applyFont="1" applyBorder="1"/>
    <xf numFmtId="3" fontId="73" fillId="0" borderId="79" xfId="0" applyNumberFormat="1" applyFont="1" applyBorder="1" applyProtection="1">
      <protection locked="0"/>
    </xf>
    <xf numFmtId="0" fontId="73" fillId="0" borderId="24" xfId="0" applyFont="1" applyBorder="1"/>
    <xf numFmtId="0" fontId="76" fillId="0" borderId="24" xfId="0" applyFont="1" applyBorder="1"/>
    <xf numFmtId="0" fontId="73" fillId="0" borderId="24" xfId="0" applyFont="1" applyBorder="1" applyAlignment="1">
      <alignment wrapText="1"/>
    </xf>
    <xf numFmtId="3" fontId="75" fillId="0" borderId="85" xfId="0" applyNumberFormat="1" applyFont="1" applyBorder="1"/>
    <xf numFmtId="3" fontId="73" fillId="0" borderId="50" xfId="0" applyNumberFormat="1" applyFont="1" applyBorder="1"/>
    <xf numFmtId="0" fontId="73" fillId="0" borderId="37" xfId="0" applyFont="1" applyBorder="1" applyAlignment="1">
      <alignment horizontal="left"/>
    </xf>
    <xf numFmtId="0" fontId="73" fillId="0" borderId="50" xfId="0" applyFont="1" applyBorder="1" applyAlignment="1">
      <alignment horizontal="left"/>
    </xf>
    <xf numFmtId="0" fontId="73" fillId="0" borderId="85" xfId="0" applyFont="1" applyBorder="1" applyAlignment="1">
      <alignment horizontal="left"/>
    </xf>
    <xf numFmtId="0" fontId="72" fillId="0" borderId="18" xfId="0" applyFont="1" applyBorder="1"/>
    <xf numFmtId="3" fontId="72" fillId="0" borderId="24" xfId="0" applyNumberFormat="1" applyFont="1" applyBorder="1"/>
    <xf numFmtId="0" fontId="72" fillId="0" borderId="24" xfId="0" applyFont="1" applyBorder="1"/>
    <xf numFmtId="3" fontId="72" fillId="0" borderId="88" xfId="0" applyNumberFormat="1" applyFont="1" applyBorder="1" applyProtection="1">
      <protection locked="0"/>
    </xf>
    <xf numFmtId="3" fontId="72" fillId="0" borderId="0" xfId="0" applyNumberFormat="1" applyFont="1"/>
    <xf numFmtId="0" fontId="72" fillId="0" borderId="0" xfId="0" applyFont="1"/>
    <xf numFmtId="3" fontId="72" fillId="0" borderId="86" xfId="0" applyNumberFormat="1" applyFont="1" applyBorder="1" applyProtection="1">
      <protection locked="0"/>
    </xf>
    <xf numFmtId="0" fontId="73" fillId="0" borderId="0" xfId="0" applyFont="1" applyAlignment="1">
      <alignment horizontal="left"/>
    </xf>
    <xf numFmtId="0" fontId="73" fillId="0" borderId="86" xfId="0" applyFont="1" applyBorder="1" applyAlignment="1">
      <alignment horizontal="left"/>
    </xf>
    <xf numFmtId="0" fontId="72" fillId="0" borderId="22" xfId="0" applyFont="1" applyBorder="1" applyAlignment="1">
      <alignment horizontal="left"/>
    </xf>
    <xf numFmtId="0" fontId="72" fillId="0" borderId="93" xfId="0" applyFont="1" applyBorder="1" applyAlignment="1">
      <alignment horizontal="left"/>
    </xf>
    <xf numFmtId="0" fontId="72" fillId="0" borderId="81" xfId="0" applyFont="1" applyBorder="1" applyAlignment="1">
      <alignment horizontal="left"/>
    </xf>
    <xf numFmtId="0" fontId="76" fillId="0" borderId="16" xfId="0" applyFont="1" applyBorder="1" applyAlignment="1">
      <alignment horizontal="left"/>
    </xf>
    <xf numFmtId="0" fontId="73" fillId="0" borderId="16" xfId="0" applyFont="1" applyBorder="1" applyAlignment="1">
      <alignment horizontal="left"/>
    </xf>
    <xf numFmtId="0" fontId="73" fillId="0" borderId="84" xfId="0" applyFont="1" applyBorder="1" applyAlignment="1">
      <alignment horizontal="left"/>
    </xf>
    <xf numFmtId="0" fontId="75" fillId="0" borderId="16" xfId="0" applyFont="1" applyBorder="1" applyAlignment="1">
      <alignment horizontal="left"/>
    </xf>
    <xf numFmtId="0" fontId="73" fillId="0" borderId="23" xfId="0" applyFont="1" applyBorder="1"/>
    <xf numFmtId="0" fontId="75" fillId="0" borderId="46" xfId="0" applyFont="1" applyBorder="1"/>
    <xf numFmtId="3" fontId="73" fillId="0" borderId="117" xfId="0" applyNumberFormat="1" applyFont="1" applyBorder="1"/>
    <xf numFmtId="0" fontId="73" fillId="0" borderId="123" xfId="0" applyFont="1" applyBorder="1"/>
    <xf numFmtId="0" fontId="73" fillId="0" borderId="85" xfId="0" applyFont="1" applyBorder="1"/>
    <xf numFmtId="0" fontId="6" fillId="0" borderId="37" xfId="0" applyFont="1" applyBorder="1"/>
    <xf numFmtId="0" fontId="6" fillId="0" borderId="79" xfId="0" applyFont="1" applyBorder="1"/>
    <xf numFmtId="0" fontId="6" fillId="0" borderId="50" xfId="0" applyFont="1" applyBorder="1"/>
    <xf numFmtId="3" fontId="6" fillId="0" borderId="50" xfId="0" applyNumberFormat="1" applyFont="1" applyBorder="1"/>
    <xf numFmtId="0" fontId="6" fillId="0" borderId="37" xfId="77" applyFont="1" applyBorder="1" applyAlignment="1">
      <alignment horizontal="justify"/>
    </xf>
    <xf numFmtId="0" fontId="6" fillId="0" borderId="37" xfId="77" applyFont="1" applyBorder="1" applyAlignment="1">
      <alignment horizontal="left"/>
    </xf>
    <xf numFmtId="0" fontId="72" fillId="0" borderId="20" xfId="0" applyFont="1" applyBorder="1"/>
    <xf numFmtId="0" fontId="75" fillId="0" borderId="93" xfId="0" applyFont="1" applyBorder="1" applyAlignment="1">
      <alignment horizontal="left"/>
    </xf>
    <xf numFmtId="0" fontId="72" fillId="0" borderId="46" xfId="0" applyFont="1" applyBorder="1" applyAlignment="1">
      <alignment horizontal="center"/>
    </xf>
    <xf numFmtId="0" fontId="72" fillId="0" borderId="18" xfId="0" applyFont="1" applyBorder="1" applyAlignment="1">
      <alignment horizontal="center"/>
    </xf>
    <xf numFmtId="0" fontId="72" fillId="0" borderId="86" xfId="0" applyFont="1" applyBorder="1" applyAlignment="1">
      <alignment horizontal="left"/>
    </xf>
    <xf numFmtId="0" fontId="73" fillId="0" borderId="37" xfId="77" applyFont="1" applyBorder="1" applyAlignment="1">
      <alignment horizontal="left"/>
    </xf>
    <xf numFmtId="0" fontId="73" fillId="0" borderId="37" xfId="77" applyFont="1" applyBorder="1" applyAlignment="1">
      <alignment horizontal="justify"/>
    </xf>
    <xf numFmtId="0" fontId="73" fillId="0" borderId="79" xfId="0" applyFont="1" applyBorder="1"/>
    <xf numFmtId="0" fontId="72" fillId="0" borderId="19" xfId="0" applyFont="1" applyBorder="1"/>
    <xf numFmtId="0" fontId="72" fillId="0" borderId="84" xfId="0" applyFont="1" applyBorder="1" applyAlignment="1">
      <alignment horizontal="left"/>
    </xf>
    <xf numFmtId="0" fontId="75" fillId="0" borderId="0" xfId="0" applyFont="1" applyAlignment="1">
      <alignment horizontal="left"/>
    </xf>
    <xf numFmtId="0" fontId="73" fillId="0" borderId="66" xfId="77" applyFont="1" applyBorder="1" applyAlignment="1">
      <alignment horizontal="left"/>
    </xf>
    <xf numFmtId="0" fontId="73" fillId="0" borderId="66" xfId="77" applyFont="1" applyBorder="1" applyAlignment="1">
      <alignment horizontal="justify"/>
    </xf>
    <xf numFmtId="0" fontId="73" fillId="0" borderId="74" xfId="0" applyFont="1" applyBorder="1"/>
    <xf numFmtId="0" fontId="73" fillId="0" borderId="37" xfId="77" applyFont="1" applyBorder="1" applyAlignment="1">
      <alignment horizontal="left" wrapText="1"/>
    </xf>
    <xf numFmtId="0" fontId="73" fillId="0" borderId="0" xfId="77" applyFont="1" applyAlignment="1">
      <alignment horizontal="left"/>
    </xf>
    <xf numFmtId="0" fontId="72" fillId="0" borderId="37" xfId="0" applyFont="1" applyBorder="1" applyAlignment="1">
      <alignment horizontal="center"/>
    </xf>
    <xf numFmtId="0" fontId="72" fillId="0" borderId="79" xfId="0" applyFont="1" applyBorder="1" applyAlignment="1">
      <alignment horizontal="left"/>
    </xf>
    <xf numFmtId="0" fontId="72" fillId="0" borderId="17" xfId="0" applyFont="1" applyBorder="1"/>
    <xf numFmtId="0" fontId="72" fillId="0" borderId="0" xfId="0" applyFont="1" applyAlignment="1">
      <alignment horizontal="left"/>
    </xf>
    <xf numFmtId="0" fontId="73" fillId="0" borderId="37" xfId="0" applyFont="1" applyBorder="1" applyAlignment="1">
      <alignment wrapText="1"/>
    </xf>
    <xf numFmtId="0" fontId="73" fillId="0" borderId="50" xfId="77" applyFont="1" applyBorder="1" applyAlignment="1">
      <alignment horizontal="left"/>
    </xf>
    <xf numFmtId="0" fontId="72" fillId="0" borderId="22" xfId="0" applyFont="1" applyBorder="1" applyAlignment="1">
      <alignment horizontal="center"/>
    </xf>
    <xf numFmtId="0" fontId="73" fillId="0" borderId="53" xfId="0" applyFont="1" applyBorder="1"/>
    <xf numFmtId="0" fontId="73" fillId="0" borderId="69" xfId="0" applyFont="1" applyBorder="1"/>
    <xf numFmtId="0" fontId="75" fillId="0" borderId="18" xfId="0" applyFont="1" applyBorder="1" applyAlignment="1">
      <alignment horizontal="left"/>
    </xf>
    <xf numFmtId="0" fontId="75" fillId="0" borderId="37" xfId="0" applyFont="1" applyBorder="1" applyAlignment="1">
      <alignment horizontal="left"/>
    </xf>
    <xf numFmtId="3" fontId="72" fillId="0" borderId="37" xfId="0" applyNumberFormat="1" applyFont="1" applyBorder="1"/>
    <xf numFmtId="0" fontId="75" fillId="0" borderId="22" xfId="0" applyFont="1" applyBorder="1" applyAlignment="1">
      <alignment horizontal="left"/>
    </xf>
    <xf numFmtId="3" fontId="72" fillId="0" borderId="0" xfId="0" applyNumberFormat="1" applyFont="1" applyAlignment="1">
      <alignment wrapText="1"/>
    </xf>
    <xf numFmtId="3" fontId="75" fillId="0" borderId="0" xfId="0" applyNumberFormat="1" applyFont="1"/>
    <xf numFmtId="3" fontId="73" fillId="0" borderId="0" xfId="0" applyNumberFormat="1" applyFont="1"/>
    <xf numFmtId="3" fontId="73" fillId="0" borderId="0" xfId="0" applyNumberFormat="1" applyFont="1" applyAlignment="1">
      <alignment wrapText="1"/>
    </xf>
    <xf numFmtId="3" fontId="75" fillId="0" borderId="16" xfId="0" applyNumberFormat="1" applyFont="1" applyBorder="1" applyAlignment="1">
      <alignment horizontal="left"/>
    </xf>
    <xf numFmtId="0" fontId="73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72" fillId="27" borderId="61" xfId="0" applyFont="1" applyFill="1" applyBorder="1" applyAlignment="1">
      <alignment horizontal="center"/>
    </xf>
    <xf numFmtId="0" fontId="72" fillId="0" borderId="28" xfId="0" applyFont="1" applyBorder="1" applyAlignment="1">
      <alignment horizontal="center"/>
    </xf>
    <xf numFmtId="0" fontId="73" fillId="0" borderId="0" xfId="0" applyFont="1" applyAlignment="1">
      <alignment wrapText="1"/>
    </xf>
    <xf numFmtId="0" fontId="73" fillId="0" borderId="40" xfId="0" applyFont="1" applyBorder="1"/>
    <xf numFmtId="0" fontId="73" fillId="0" borderId="40" xfId="0" applyFont="1" applyBorder="1" applyAlignment="1">
      <alignment horizontal="justify"/>
    </xf>
    <xf numFmtId="0" fontId="72" fillId="0" borderId="23" xfId="0" applyFont="1" applyBorder="1" applyAlignment="1">
      <alignment horizontal="center"/>
    </xf>
    <xf numFmtId="0" fontId="72" fillId="0" borderId="19" xfId="0" applyFont="1" applyBorder="1" applyAlignment="1">
      <alignment horizontal="center"/>
    </xf>
    <xf numFmtId="0" fontId="73" fillId="0" borderId="70" xfId="0" applyFont="1" applyBorder="1" applyAlignment="1">
      <alignment horizontal="center"/>
    </xf>
    <xf numFmtId="0" fontId="72" fillId="0" borderId="69" xfId="0" applyFont="1" applyBorder="1" applyAlignment="1">
      <alignment horizontal="center"/>
    </xf>
    <xf numFmtId="0" fontId="75" fillId="0" borderId="69" xfId="0" applyFont="1" applyBorder="1" applyAlignment="1">
      <alignment horizontal="left"/>
    </xf>
    <xf numFmtId="0" fontId="73" fillId="0" borderId="73" xfId="0" applyFont="1" applyBorder="1" applyAlignment="1">
      <alignment horizontal="justify"/>
    </xf>
    <xf numFmtId="0" fontId="72" fillId="0" borderId="77" xfId="0" applyFont="1" applyBorder="1"/>
    <xf numFmtId="0" fontId="73" fillId="0" borderId="73" xfId="0" applyFont="1" applyBorder="1"/>
    <xf numFmtId="0" fontId="73" fillId="0" borderId="75" xfId="0" applyFont="1" applyBorder="1"/>
    <xf numFmtId="0" fontId="73" fillId="0" borderId="69" xfId="0" applyFont="1" applyBorder="1" applyAlignment="1">
      <alignment horizontal="left" wrapText="1"/>
    </xf>
    <xf numFmtId="0" fontId="72" fillId="0" borderId="77" xfId="0" applyFont="1" applyBorder="1" applyAlignment="1">
      <alignment horizontal="left"/>
    </xf>
    <xf numFmtId="0" fontId="75" fillId="0" borderId="69" xfId="0" applyFont="1" applyBorder="1"/>
    <xf numFmtId="3" fontId="73" fillId="0" borderId="75" xfId="0" applyNumberFormat="1" applyFont="1" applyBorder="1" applyAlignment="1">
      <alignment horizontal="justify"/>
    </xf>
    <xf numFmtId="3" fontId="73" fillId="0" borderId="73" xfId="78" applyNumberFormat="1" applyFont="1" applyBorder="1" applyAlignment="1">
      <alignment horizontal="justify" wrapText="1"/>
    </xf>
    <xf numFmtId="0" fontId="73" fillId="0" borderId="106" xfId="0" applyFont="1" applyBorder="1"/>
    <xf numFmtId="0" fontId="72" fillId="0" borderId="70" xfId="0" applyFont="1" applyBorder="1"/>
    <xf numFmtId="0" fontId="72" fillId="0" borderId="76" xfId="0" applyFont="1" applyBorder="1"/>
    <xf numFmtId="0" fontId="72" fillId="0" borderId="89" xfId="0" applyFont="1" applyBorder="1" applyAlignment="1">
      <alignment horizontal="center"/>
    </xf>
    <xf numFmtId="0" fontId="75" fillId="0" borderId="89" xfId="0" applyFont="1" applyBorder="1" applyAlignment="1">
      <alignment horizontal="left"/>
    </xf>
    <xf numFmtId="0" fontId="73" fillId="0" borderId="89" xfId="0" applyFont="1" applyBorder="1" applyAlignment="1">
      <alignment horizontal="left"/>
    </xf>
    <xf numFmtId="0" fontId="72" fillId="0" borderId="89" xfId="0" applyFont="1" applyBorder="1" applyAlignment="1">
      <alignment horizontal="left"/>
    </xf>
    <xf numFmtId="0" fontId="75" fillId="0" borderId="69" xfId="0" applyFont="1" applyBorder="1" applyAlignment="1">
      <alignment horizontal="left" wrapText="1"/>
    </xf>
    <xf numFmtId="3" fontId="73" fillId="0" borderId="75" xfId="78" applyNumberFormat="1" applyFont="1" applyBorder="1" applyAlignment="1">
      <alignment horizontal="justify" wrapText="1"/>
    </xf>
    <xf numFmtId="3" fontId="72" fillId="0" borderId="0" xfId="0" applyNumberFormat="1" applyFont="1" applyAlignment="1">
      <alignment horizontal="center"/>
    </xf>
    <xf numFmtId="3" fontId="77" fillId="0" borderId="0" xfId="0" applyNumberFormat="1" applyFont="1" applyAlignment="1">
      <alignment horizontal="center"/>
    </xf>
    <xf numFmtId="0" fontId="72" fillId="0" borderId="19" xfId="0" applyFont="1" applyBorder="1" applyAlignment="1">
      <alignment horizontal="left"/>
    </xf>
    <xf numFmtId="0" fontId="73" fillId="0" borderId="50" xfId="0" applyFont="1" applyBorder="1" applyAlignment="1">
      <alignment wrapText="1"/>
    </xf>
    <xf numFmtId="3" fontId="72" fillId="0" borderId="16" xfId="0" applyNumberFormat="1" applyFont="1" applyBorder="1" applyAlignment="1">
      <alignment horizontal="center"/>
    </xf>
    <xf numFmtId="3" fontId="72" fillId="0" borderId="0" xfId="0" applyNumberFormat="1" applyFont="1" applyAlignment="1">
      <alignment horizontal="left"/>
    </xf>
    <xf numFmtId="3" fontId="73" fillId="0" borderId="0" xfId="0" applyNumberFormat="1" applyFont="1" applyAlignment="1">
      <alignment horizontal="left"/>
    </xf>
    <xf numFmtId="0" fontId="73" fillId="0" borderId="0" xfId="77" applyFont="1"/>
    <xf numFmtId="3" fontId="73" fillId="0" borderId="0" xfId="0" applyNumberFormat="1" applyFont="1" applyAlignment="1">
      <alignment horizontal="center"/>
    </xf>
    <xf numFmtId="0" fontId="73" fillId="0" borderId="50" xfId="77" applyFont="1" applyBorder="1" applyAlignment="1">
      <alignment horizontal="justify"/>
    </xf>
    <xf numFmtId="0" fontId="75" fillId="0" borderId="20" xfId="0" applyFont="1" applyBorder="1" applyAlignment="1">
      <alignment horizontal="left"/>
    </xf>
    <xf numFmtId="3" fontId="72" fillId="0" borderId="25" xfId="0" applyNumberFormat="1" applyFont="1" applyBorder="1" applyAlignment="1">
      <alignment horizontal="center"/>
    </xf>
    <xf numFmtId="3" fontId="72" fillId="0" borderId="30" xfId="0" applyNumberFormat="1" applyFont="1" applyBorder="1" applyAlignment="1">
      <alignment horizontal="center"/>
    </xf>
    <xf numFmtId="0" fontId="73" fillId="28" borderId="108" xfId="0" applyFont="1" applyFill="1" applyBorder="1" applyAlignment="1">
      <alignment horizontal="justify"/>
    </xf>
    <xf numFmtId="0" fontId="73" fillId="28" borderId="40" xfId="0" applyFont="1" applyFill="1" applyBorder="1" applyAlignment="1">
      <alignment horizontal="justify"/>
    </xf>
    <xf numFmtId="0" fontId="73" fillId="0" borderId="40" xfId="0" applyFont="1" applyBorder="1" applyAlignment="1">
      <alignment wrapText="1"/>
    </xf>
    <xf numFmtId="0" fontId="5" fillId="0" borderId="0" xfId="0" applyFont="1" applyAlignment="1">
      <alignment horizontal="right"/>
    </xf>
    <xf numFmtId="0" fontId="73" fillId="28" borderId="38" xfId="0" applyFont="1" applyFill="1" applyBorder="1" applyAlignment="1">
      <alignment horizontal="justify"/>
    </xf>
    <xf numFmtId="3" fontId="73" fillId="28" borderId="38" xfId="0" applyNumberFormat="1" applyFont="1" applyFill="1" applyBorder="1" applyAlignment="1">
      <alignment wrapText="1"/>
    </xf>
    <xf numFmtId="0" fontId="72" fillId="0" borderId="17" xfId="0" applyFont="1" applyBorder="1" applyAlignment="1">
      <alignment horizontal="left"/>
    </xf>
    <xf numFmtId="3" fontId="78" fillId="0" borderId="0" xfId="0" applyNumberFormat="1" applyFont="1"/>
    <xf numFmtId="0" fontId="78" fillId="0" borderId="0" xfId="0" applyFont="1"/>
    <xf numFmtId="0" fontId="73" fillId="28" borderId="18" xfId="0" applyFont="1" applyFill="1" applyBorder="1" applyAlignment="1">
      <alignment horizontal="justify"/>
    </xf>
    <xf numFmtId="0" fontId="77" fillId="0" borderId="0" xfId="77" applyFont="1"/>
    <xf numFmtId="3" fontId="73" fillId="0" borderId="0" xfId="77" applyNumberFormat="1" applyFont="1" applyAlignment="1">
      <alignment horizontal="right"/>
    </xf>
    <xf numFmtId="0" fontId="73" fillId="0" borderId="23" xfId="77" applyFont="1" applyBorder="1"/>
    <xf numFmtId="0" fontId="72" fillId="0" borderId="46" xfId="77" applyFont="1" applyBorder="1" applyAlignment="1">
      <alignment horizontal="center"/>
    </xf>
    <xf numFmtId="0" fontId="73" fillId="0" borderId="19" xfId="77" applyFont="1" applyBorder="1"/>
    <xf numFmtId="0" fontId="73" fillId="0" borderId="16" xfId="77" applyFont="1" applyBorder="1" applyAlignment="1">
      <alignment horizontal="center"/>
    </xf>
    <xf numFmtId="0" fontId="72" fillId="0" borderId="18" xfId="77" applyFont="1" applyBorder="1"/>
    <xf numFmtId="0" fontId="76" fillId="0" borderId="0" xfId="77" applyFont="1"/>
    <xf numFmtId="0" fontId="73" fillId="0" borderId="18" xfId="77" applyFont="1" applyBorder="1" applyAlignment="1">
      <alignment horizontal="right"/>
    </xf>
    <xf numFmtId="3" fontId="73" fillId="0" borderId="0" xfId="77" applyNumberFormat="1" applyFont="1"/>
    <xf numFmtId="3" fontId="75" fillId="0" borderId="0" xfId="77" applyNumberFormat="1" applyFont="1"/>
    <xf numFmtId="0" fontId="73" fillId="0" borderId="0" xfId="77" applyFont="1" applyAlignment="1">
      <alignment horizontal="justify"/>
    </xf>
    <xf numFmtId="3" fontId="5" fillId="0" borderId="0" xfId="77" applyNumberFormat="1" applyFont="1"/>
    <xf numFmtId="0" fontId="72" fillId="0" borderId="0" xfId="77" applyFont="1" applyAlignment="1">
      <alignment horizontal="center"/>
    </xf>
    <xf numFmtId="0" fontId="73" fillId="0" borderId="16" xfId="77" applyFont="1" applyBorder="1" applyAlignment="1">
      <alignment horizontal="justify"/>
    </xf>
    <xf numFmtId="0" fontId="5" fillId="0" borderId="0" xfId="77" applyFont="1" applyAlignment="1">
      <alignment horizontal="right"/>
    </xf>
    <xf numFmtId="0" fontId="72" fillId="0" borderId="18" xfId="77" applyFont="1" applyBorder="1" applyAlignment="1">
      <alignment horizontal="center"/>
    </xf>
    <xf numFmtId="0" fontId="72" fillId="0" borderId="23" xfId="77" applyFont="1" applyBorder="1" applyAlignment="1">
      <alignment horizontal="right"/>
    </xf>
    <xf numFmtId="0" fontId="72" fillId="0" borderId="18" xfId="77" applyFont="1" applyBorder="1" applyAlignment="1">
      <alignment horizontal="right"/>
    </xf>
    <xf numFmtId="0" fontId="72" fillId="0" borderId="26" xfId="77" applyFont="1" applyBorder="1" applyAlignment="1">
      <alignment horizontal="right"/>
    </xf>
    <xf numFmtId="0" fontId="72" fillId="0" borderId="24" xfId="77" applyFont="1" applyBorder="1" applyAlignment="1">
      <alignment horizontal="center"/>
    </xf>
    <xf numFmtId="0" fontId="73" fillId="0" borderId="50" xfId="77" applyFont="1" applyBorder="1"/>
    <xf numFmtId="0" fontId="73" fillId="0" borderId="37" xfId="77" applyFont="1" applyBorder="1"/>
    <xf numFmtId="0" fontId="72" fillId="0" borderId="0" xfId="77" applyFont="1"/>
    <xf numFmtId="3" fontId="73" fillId="0" borderId="37" xfId="0" applyNumberFormat="1" applyFont="1" applyBorder="1" applyAlignment="1">
      <alignment horizontal="justify"/>
    </xf>
    <xf numFmtId="0" fontId="72" fillId="0" borderId="24" xfId="77" applyFont="1" applyBorder="1"/>
    <xf numFmtId="0" fontId="75" fillId="0" borderId="18" xfId="77" applyFont="1" applyBorder="1" applyAlignment="1">
      <alignment horizontal="left"/>
    </xf>
    <xf numFmtId="0" fontId="75" fillId="0" borderId="0" xfId="77" applyFont="1"/>
    <xf numFmtId="3" fontId="5" fillId="0" borderId="0" xfId="77" applyNumberFormat="1" applyFont="1" applyAlignment="1">
      <alignment wrapText="1"/>
    </xf>
    <xf numFmtId="0" fontId="78" fillId="0" borderId="0" xfId="77" applyFont="1"/>
    <xf numFmtId="3" fontId="73" fillId="0" borderId="50" xfId="0" applyNumberFormat="1" applyFont="1" applyBorder="1" applyAlignment="1">
      <alignment horizontal="justify"/>
    </xf>
    <xf numFmtId="0" fontId="5" fillId="0" borderId="18" xfId="77" applyFont="1" applyBorder="1" applyAlignment="1">
      <alignment horizontal="right"/>
    </xf>
    <xf numFmtId="0" fontId="73" fillId="0" borderId="50" xfId="77" applyFont="1" applyBorder="1" applyAlignment="1">
      <alignment wrapText="1"/>
    </xf>
    <xf numFmtId="0" fontId="5" fillId="0" borderId="0" xfId="77" applyFont="1"/>
    <xf numFmtId="0" fontId="73" fillId="0" borderId="37" xfId="77" applyFont="1" applyBorder="1" applyAlignment="1">
      <alignment wrapText="1"/>
    </xf>
    <xf numFmtId="0" fontId="73" fillId="0" borderId="66" xfId="77" applyFont="1" applyBorder="1" applyAlignment="1">
      <alignment horizontal="left" wrapText="1"/>
    </xf>
    <xf numFmtId="0" fontId="73" fillId="0" borderId="66" xfId="77" applyFont="1" applyBorder="1"/>
    <xf numFmtId="0" fontId="5" fillId="0" borderId="37" xfId="0" applyFont="1" applyBorder="1" applyAlignment="1">
      <alignment wrapText="1"/>
    </xf>
    <xf numFmtId="0" fontId="73" fillId="0" borderId="37" xfId="0" applyFont="1" applyBorder="1" applyAlignment="1">
      <alignment horizontal="justify"/>
    </xf>
    <xf numFmtId="0" fontId="5" fillId="0" borderId="66" xfId="0" applyFont="1" applyBorder="1" applyAlignment="1">
      <alignment wrapText="1"/>
    </xf>
    <xf numFmtId="0" fontId="5" fillId="0" borderId="50" xfId="0" applyFont="1" applyBorder="1" applyAlignment="1">
      <alignment wrapText="1"/>
    </xf>
    <xf numFmtId="0" fontId="5" fillId="0" borderId="37" xfId="77" applyFont="1" applyBorder="1" applyAlignment="1">
      <alignment wrapText="1"/>
    </xf>
    <xf numFmtId="3" fontId="74" fillId="0" borderId="0" xfId="77" applyNumberFormat="1" applyFont="1"/>
    <xf numFmtId="0" fontId="72" fillId="0" borderId="17" xfId="77" applyFont="1" applyBorder="1" applyAlignment="1">
      <alignment horizontal="right"/>
    </xf>
    <xf numFmtId="0" fontId="72" fillId="0" borderId="22" xfId="77" applyFont="1" applyBorder="1"/>
    <xf numFmtId="0" fontId="73" fillId="0" borderId="20" xfId="77" applyFont="1" applyBorder="1" applyAlignment="1">
      <alignment horizontal="right"/>
    </xf>
    <xf numFmtId="0" fontId="72" fillId="0" borderId="93" xfId="77" applyFont="1" applyBorder="1"/>
    <xf numFmtId="3" fontId="6" fillId="0" borderId="18" xfId="0" applyNumberFormat="1" applyFont="1" applyBorder="1"/>
    <xf numFmtId="3" fontId="79" fillId="0" borderId="0" xfId="77" applyNumberFormat="1" applyFont="1"/>
    <xf numFmtId="0" fontId="73" fillId="0" borderId="115" xfId="0" applyFont="1" applyBorder="1" applyAlignment="1">
      <alignment horizontal="justify"/>
    </xf>
    <xf numFmtId="0" fontId="73" fillId="0" borderId="78" xfId="0" applyFont="1" applyBorder="1" applyAlignment="1">
      <alignment horizontal="justify"/>
    </xf>
    <xf numFmtId="0" fontId="73" fillId="29" borderId="78" xfId="0" applyFont="1" applyFill="1" applyBorder="1"/>
    <xf numFmtId="0" fontId="73" fillId="0" borderId="89" xfId="0" applyFont="1" applyBorder="1"/>
    <xf numFmtId="0" fontId="72" fillId="0" borderId="83" xfId="0" applyFont="1" applyBorder="1" applyAlignment="1">
      <alignment horizontal="left"/>
    </xf>
    <xf numFmtId="0" fontId="73" fillId="0" borderId="69" xfId="0" applyFont="1" applyBorder="1" applyAlignment="1">
      <alignment horizontal="justify"/>
    </xf>
    <xf numFmtId="3" fontId="73" fillId="28" borderId="72" xfId="0" applyNumberFormat="1" applyFont="1" applyFill="1" applyBorder="1"/>
    <xf numFmtId="0" fontId="73" fillId="0" borderId="87" xfId="0" applyFont="1" applyBorder="1"/>
    <xf numFmtId="3" fontId="81" fillId="0" borderId="15" xfId="0" applyNumberFormat="1" applyFont="1" applyBorder="1"/>
    <xf numFmtId="2" fontId="81" fillId="0" borderId="102" xfId="0" applyNumberFormat="1" applyFont="1" applyBorder="1"/>
    <xf numFmtId="3" fontId="81" fillId="0" borderId="36" xfId="0" applyNumberFormat="1" applyFont="1" applyBorder="1"/>
    <xf numFmtId="2" fontId="81" fillId="0" borderId="68" xfId="0" applyNumberFormat="1" applyFont="1" applyBorder="1"/>
    <xf numFmtId="3" fontId="82" fillId="0" borderId="43" xfId="0" applyNumberFormat="1" applyFont="1" applyBorder="1"/>
    <xf numFmtId="4" fontId="82" fillId="0" borderId="80" xfId="0" applyNumberFormat="1" applyFont="1" applyBorder="1"/>
    <xf numFmtId="0" fontId="82" fillId="27" borderId="45" xfId="0" applyFont="1" applyFill="1" applyBorder="1" applyAlignment="1">
      <alignment horizontal="center"/>
    </xf>
    <xf numFmtId="0" fontId="82" fillId="0" borderId="61" xfId="0" applyFont="1" applyBorder="1" applyAlignment="1">
      <alignment horizontal="center"/>
    </xf>
    <xf numFmtId="0" fontId="82" fillId="0" borderId="84" xfId="0" applyFont="1" applyBorder="1" applyAlignment="1">
      <alignment horizontal="center"/>
    </xf>
    <xf numFmtId="4" fontId="81" fillId="0" borderId="68" xfId="0" applyNumberFormat="1" applyFont="1" applyBorder="1"/>
    <xf numFmtId="0" fontId="82" fillId="0" borderId="15" xfId="0" applyFont="1" applyBorder="1" applyAlignment="1">
      <alignment horizontal="center"/>
    </xf>
    <xf numFmtId="0" fontId="82" fillId="0" borderId="86" xfId="0" applyFont="1" applyBorder="1" applyAlignment="1">
      <alignment horizontal="center"/>
    </xf>
    <xf numFmtId="0" fontId="82" fillId="0" borderId="0" xfId="0" applyFont="1" applyAlignment="1">
      <alignment horizontal="center"/>
    </xf>
    <xf numFmtId="3" fontId="82" fillId="0" borderId="21" xfId="0" applyNumberFormat="1" applyFont="1" applyBorder="1"/>
    <xf numFmtId="4" fontId="82" fillId="0" borderId="81" xfId="0" applyNumberFormat="1" applyFont="1" applyBorder="1"/>
    <xf numFmtId="3" fontId="82" fillId="0" borderId="45" xfId="0" applyNumberFormat="1" applyFont="1" applyBorder="1"/>
    <xf numFmtId="3" fontId="82" fillId="0" borderId="46" xfId="0" applyNumberFormat="1" applyFont="1" applyBorder="1"/>
    <xf numFmtId="3" fontId="81" fillId="0" borderId="51" xfId="0" applyNumberFormat="1" applyFont="1" applyBorder="1"/>
    <xf numFmtId="4" fontId="81" fillId="0" borderId="67" xfId="0" applyNumberFormat="1" applyFont="1" applyBorder="1"/>
    <xf numFmtId="3" fontId="81" fillId="0" borderId="34" xfId="0" applyNumberFormat="1" applyFont="1" applyBorder="1"/>
    <xf numFmtId="3" fontId="82" fillId="0" borderId="86" xfId="0" applyNumberFormat="1" applyFont="1" applyBorder="1"/>
    <xf numFmtId="3" fontId="82" fillId="0" borderId="61" xfId="0" applyNumberFormat="1" applyFont="1" applyBorder="1"/>
    <xf numFmtId="4" fontId="82" fillId="0" borderId="84" xfId="0" applyNumberFormat="1" applyFont="1" applyBorder="1"/>
    <xf numFmtId="3" fontId="82" fillId="0" borderId="21" xfId="0" applyNumberFormat="1" applyFont="1" applyBorder="1" applyAlignment="1">
      <alignment horizontal="right"/>
    </xf>
    <xf numFmtId="4" fontId="82" fillId="0" borderId="54" xfId="0" applyNumberFormat="1" applyFont="1" applyBorder="1"/>
    <xf numFmtId="4" fontId="82" fillId="0" borderId="53" xfId="0" applyNumberFormat="1" applyFont="1" applyBorder="1"/>
    <xf numFmtId="3" fontId="81" fillId="29" borderId="36" xfId="0" applyNumberFormat="1" applyFont="1" applyFill="1" applyBorder="1"/>
    <xf numFmtId="4" fontId="81" fillId="0" borderId="86" xfId="0" applyNumberFormat="1" applyFont="1" applyBorder="1"/>
    <xf numFmtId="0" fontId="82" fillId="0" borderId="83" xfId="0" applyFont="1" applyBorder="1" applyAlignment="1">
      <alignment horizontal="center"/>
    </xf>
    <xf numFmtId="0" fontId="82" fillId="0" borderId="76" xfId="0" applyFont="1" applyBorder="1" applyAlignment="1">
      <alignment horizontal="center"/>
    </xf>
    <xf numFmtId="0" fontId="82" fillId="0" borderId="70" xfId="0" applyFont="1" applyBorder="1" applyAlignment="1">
      <alignment horizontal="center"/>
    </xf>
    <xf numFmtId="3" fontId="82" fillId="0" borderId="23" xfId="0" applyNumberFormat="1" applyFont="1" applyBorder="1"/>
    <xf numFmtId="3" fontId="82" fillId="0" borderId="83" xfId="0" applyNumberFormat="1" applyFont="1" applyBorder="1"/>
    <xf numFmtId="3" fontId="82" fillId="0" borderId="53" xfId="0" applyNumberFormat="1" applyFont="1" applyBorder="1"/>
    <xf numFmtId="3" fontId="84" fillId="0" borderId="38" xfId="0" applyNumberFormat="1" applyFont="1" applyBorder="1"/>
    <xf numFmtId="3" fontId="84" fillId="0" borderId="75" xfId="0" applyNumberFormat="1" applyFont="1" applyBorder="1"/>
    <xf numFmtId="3" fontId="82" fillId="0" borderId="75" xfId="0" applyNumberFormat="1" applyFont="1" applyBorder="1"/>
    <xf numFmtId="4" fontId="82" fillId="0" borderId="75" xfId="0" applyNumberFormat="1" applyFont="1" applyBorder="1"/>
    <xf numFmtId="3" fontId="84" fillId="0" borderId="26" xfId="0" applyNumberFormat="1" applyFont="1" applyBorder="1"/>
    <xf numFmtId="3" fontId="84" fillId="0" borderId="78" xfId="0" applyNumberFormat="1" applyFont="1" applyBorder="1"/>
    <xf numFmtId="3" fontId="82" fillId="0" borderId="78" xfId="0" applyNumberFormat="1" applyFont="1" applyBorder="1"/>
    <xf numFmtId="4" fontId="82" fillId="0" borderId="78" xfId="0" applyNumberFormat="1" applyFont="1" applyBorder="1"/>
    <xf numFmtId="3" fontId="84" fillId="0" borderId="111" xfId="0" applyNumberFormat="1" applyFont="1" applyBorder="1"/>
    <xf numFmtId="3" fontId="81" fillId="0" borderId="38" xfId="0" applyNumberFormat="1" applyFont="1" applyBorder="1"/>
    <xf numFmtId="3" fontId="81" fillId="0" borderId="75" xfId="0" applyNumberFormat="1" applyFont="1" applyBorder="1"/>
    <xf numFmtId="4" fontId="81" fillId="0" borderId="75" xfId="0" applyNumberFormat="1" applyFont="1" applyBorder="1"/>
    <xf numFmtId="3" fontId="81" fillId="0" borderId="40" xfId="0" applyNumberFormat="1" applyFont="1" applyBorder="1"/>
    <xf numFmtId="3" fontId="81" fillId="0" borderId="73" xfId="0" applyNumberFormat="1" applyFont="1" applyBorder="1"/>
    <xf numFmtId="4" fontId="81" fillId="0" borderId="73" xfId="0" applyNumberFormat="1" applyFont="1" applyBorder="1"/>
    <xf numFmtId="3" fontId="85" fillId="0" borderId="73" xfId="0" applyNumberFormat="1" applyFont="1" applyBorder="1"/>
    <xf numFmtId="3" fontId="82" fillId="0" borderId="26" xfId="0" applyNumberFormat="1" applyFont="1" applyBorder="1"/>
    <xf numFmtId="3" fontId="82" fillId="0" borderId="18" xfId="0" applyNumberFormat="1" applyFont="1" applyBorder="1"/>
    <xf numFmtId="4" fontId="82" fillId="0" borderId="69" xfId="0" applyNumberFormat="1" applyFont="1" applyBorder="1"/>
    <xf numFmtId="3" fontId="81" fillId="0" borderId="50" xfId="0" applyNumberFormat="1" applyFont="1" applyBorder="1"/>
    <xf numFmtId="3" fontId="81" fillId="0" borderId="18" xfId="0" applyNumberFormat="1" applyFont="1" applyBorder="1"/>
    <xf numFmtId="3" fontId="81" fillId="0" borderId="69" xfId="0" applyNumberFormat="1" applyFont="1" applyBorder="1"/>
    <xf numFmtId="3" fontId="81" fillId="0" borderId="62" xfId="0" applyNumberFormat="1" applyFont="1" applyBorder="1"/>
    <xf numFmtId="3" fontId="81" fillId="0" borderId="72" xfId="0" applyNumberFormat="1" applyFont="1" applyBorder="1"/>
    <xf numFmtId="3" fontId="82" fillId="0" borderId="76" xfId="0" applyNumberFormat="1" applyFont="1" applyBorder="1"/>
    <xf numFmtId="4" fontId="82" fillId="0" borderId="76" xfId="0" applyNumberFormat="1" applyFont="1" applyBorder="1"/>
    <xf numFmtId="3" fontId="82" fillId="0" borderId="20" xfId="0" applyNumberFormat="1" applyFont="1" applyBorder="1"/>
    <xf numFmtId="4" fontId="82" fillId="0" borderId="87" xfId="0" applyNumberFormat="1" applyFont="1" applyBorder="1"/>
    <xf numFmtId="3" fontId="81" fillId="0" borderId="19" xfId="0" applyNumberFormat="1" applyFont="1" applyBorder="1"/>
    <xf numFmtId="3" fontId="81" fillId="0" borderId="70" xfId="0" applyNumberFormat="1" applyFont="1" applyBorder="1"/>
    <xf numFmtId="3" fontId="81" fillId="0" borderId="16" xfId="0" applyNumberFormat="1" applyFont="1" applyBorder="1"/>
    <xf numFmtId="4" fontId="81" fillId="0" borderId="87" xfId="0" applyNumberFormat="1" applyFont="1" applyBorder="1"/>
    <xf numFmtId="3" fontId="82" fillId="0" borderId="93" xfId="0" applyNumberFormat="1" applyFont="1" applyBorder="1"/>
    <xf numFmtId="3" fontId="82" fillId="0" borderId="77" xfId="0" applyNumberFormat="1" applyFont="1" applyBorder="1"/>
    <xf numFmtId="3" fontId="81" fillId="0" borderId="108" xfId="0" applyNumberFormat="1" applyFont="1" applyBorder="1"/>
    <xf numFmtId="3" fontId="81" fillId="0" borderId="107" xfId="0" applyNumberFormat="1" applyFont="1" applyBorder="1"/>
    <xf numFmtId="4" fontId="81" fillId="0" borderId="123" xfId="0" applyNumberFormat="1" applyFont="1" applyBorder="1"/>
    <xf numFmtId="4" fontId="81" fillId="0" borderId="85" xfId="0" applyNumberFormat="1" applyFont="1" applyBorder="1"/>
    <xf numFmtId="3" fontId="82" fillId="0" borderId="0" xfId="0" applyNumberFormat="1" applyFont="1"/>
    <xf numFmtId="3" fontId="82" fillId="0" borderId="69" xfId="0" applyNumberFormat="1" applyFont="1" applyBorder="1"/>
    <xf numFmtId="3" fontId="82" fillId="0" borderId="77" xfId="0" applyNumberFormat="1" applyFont="1" applyBorder="1" applyProtection="1">
      <protection locked="0"/>
    </xf>
    <xf numFmtId="3" fontId="82" fillId="0" borderId="83" xfId="0" applyNumberFormat="1" applyFont="1" applyBorder="1" applyProtection="1">
      <protection locked="0"/>
    </xf>
    <xf numFmtId="3" fontId="82" fillId="0" borderId="46" xfId="0" applyNumberFormat="1" applyFont="1" applyBorder="1" applyProtection="1">
      <protection locked="0"/>
    </xf>
    <xf numFmtId="3" fontId="82" fillId="0" borderId="69" xfId="0" applyNumberFormat="1" applyFont="1" applyBorder="1" applyProtection="1">
      <protection locked="0"/>
    </xf>
    <xf numFmtId="3" fontId="82" fillId="0" borderId="0" xfId="0" applyNumberFormat="1" applyFont="1" applyProtection="1">
      <protection locked="0"/>
    </xf>
    <xf numFmtId="4" fontId="82" fillId="0" borderId="86" xfId="0" applyNumberFormat="1" applyFont="1" applyBorder="1"/>
    <xf numFmtId="3" fontId="81" fillId="0" borderId="73" xfId="0" applyNumberFormat="1" applyFont="1" applyBorder="1" applyProtection="1">
      <protection locked="0"/>
    </xf>
    <xf numFmtId="4" fontId="81" fillId="0" borderId="79" xfId="0" applyNumberFormat="1" applyFont="1" applyBorder="1"/>
    <xf numFmtId="4" fontId="82" fillId="0" borderId="73" xfId="0" applyNumberFormat="1" applyFont="1" applyBorder="1"/>
    <xf numFmtId="3" fontId="82" fillId="0" borderId="70" xfId="0" applyNumberFormat="1" applyFont="1" applyBorder="1" applyProtection="1">
      <protection locked="0"/>
    </xf>
    <xf numFmtId="0" fontId="82" fillId="0" borderId="46" xfId="0" applyFont="1" applyBorder="1" applyAlignment="1">
      <alignment horizontal="center"/>
    </xf>
    <xf numFmtId="0" fontId="82" fillId="27" borderId="83" xfId="0" applyFont="1" applyFill="1" applyBorder="1" applyAlignment="1">
      <alignment horizontal="center"/>
    </xf>
    <xf numFmtId="3" fontId="82" fillId="0" borderId="73" xfId="0" applyNumberFormat="1" applyFont="1" applyBorder="1" applyProtection="1">
      <protection locked="0"/>
    </xf>
    <xf numFmtId="4" fontId="82" fillId="0" borderId="83" xfId="0" applyNumberFormat="1" applyFont="1" applyBorder="1"/>
    <xf numFmtId="3" fontId="81" fillId="0" borderId="75" xfId="0" applyNumberFormat="1" applyFont="1" applyBorder="1" applyProtection="1">
      <protection locked="0"/>
    </xf>
    <xf numFmtId="3" fontId="82" fillId="0" borderId="73" xfId="0" applyNumberFormat="1" applyFont="1" applyBorder="1"/>
    <xf numFmtId="3" fontId="81" fillId="0" borderId="72" xfId="0" applyNumberFormat="1" applyFont="1" applyBorder="1" applyProtection="1">
      <protection locked="0"/>
    </xf>
    <xf numFmtId="0" fontId="81" fillId="0" borderId="73" xfId="0" applyFont="1" applyBorder="1"/>
    <xf numFmtId="3" fontId="82" fillId="0" borderId="76" xfId="0" applyNumberFormat="1" applyFont="1" applyBorder="1" applyProtection="1">
      <protection locked="0"/>
    </xf>
    <xf numFmtId="0" fontId="81" fillId="0" borderId="83" xfId="0" applyFont="1" applyBorder="1"/>
    <xf numFmtId="0" fontId="81" fillId="0" borderId="69" xfId="0" applyFont="1" applyBorder="1"/>
    <xf numFmtId="3" fontId="81" fillId="0" borderId="69" xfId="0" applyNumberFormat="1" applyFont="1" applyBorder="1" applyProtection="1">
      <protection locked="0"/>
    </xf>
    <xf numFmtId="0" fontId="82" fillId="0" borderId="53" xfId="0" applyFont="1" applyBorder="1" applyAlignment="1">
      <alignment horizontal="center"/>
    </xf>
    <xf numFmtId="0" fontId="82" fillId="0" borderId="43" xfId="0" applyFont="1" applyBorder="1" applyAlignment="1">
      <alignment horizontal="center"/>
    </xf>
    <xf numFmtId="0" fontId="82" fillId="27" borderId="61" xfId="0" applyFont="1" applyFill="1" applyBorder="1" applyAlignment="1">
      <alignment horizontal="center"/>
    </xf>
    <xf numFmtId="0" fontId="82" fillId="0" borderId="28" xfId="0" applyFont="1" applyBorder="1" applyAlignment="1">
      <alignment horizontal="center"/>
    </xf>
    <xf numFmtId="3" fontId="81" fillId="28" borderId="118" xfId="0" applyNumberFormat="1" applyFont="1" applyFill="1" applyBorder="1"/>
    <xf numFmtId="3" fontId="81" fillId="28" borderId="116" xfId="0" applyNumberFormat="1" applyFont="1" applyFill="1" applyBorder="1"/>
    <xf numFmtId="2" fontId="81" fillId="28" borderId="102" xfId="0" applyNumberFormat="1" applyFont="1" applyFill="1" applyBorder="1"/>
    <xf numFmtId="3" fontId="81" fillId="28" borderId="34" xfId="0" applyNumberFormat="1" applyFont="1" applyFill="1" applyBorder="1"/>
    <xf numFmtId="3" fontId="81" fillId="28" borderId="36" xfId="0" applyNumberFormat="1" applyFont="1" applyFill="1" applyBorder="1"/>
    <xf numFmtId="2" fontId="81" fillId="28" borderId="67" xfId="0" applyNumberFormat="1" applyFont="1" applyFill="1" applyBorder="1"/>
    <xf numFmtId="3" fontId="81" fillId="0" borderId="64" xfId="0" applyNumberFormat="1" applyFont="1" applyBorder="1"/>
    <xf numFmtId="2" fontId="81" fillId="0" borderId="67" xfId="0" applyNumberFormat="1" applyFont="1" applyBorder="1"/>
    <xf numFmtId="3" fontId="82" fillId="0" borderId="44" xfId="0" applyNumberFormat="1" applyFont="1" applyBorder="1"/>
    <xf numFmtId="2" fontId="82" fillId="0" borderId="54" xfId="0" applyNumberFormat="1" applyFont="1" applyBorder="1"/>
    <xf numFmtId="3" fontId="81" fillId="28" borderId="51" xfId="0" applyNumberFormat="1" applyFont="1" applyFill="1" applyBorder="1"/>
    <xf numFmtId="3" fontId="81" fillId="0" borderId="110" xfId="0" applyNumberFormat="1" applyFont="1" applyBorder="1"/>
    <xf numFmtId="3" fontId="81" fillId="0" borderId="29" xfId="0" applyNumberFormat="1" applyFont="1" applyBorder="1"/>
    <xf numFmtId="2" fontId="82" fillId="0" borderId="56" xfId="0" applyNumberFormat="1" applyFont="1" applyBorder="1"/>
    <xf numFmtId="2" fontId="82" fillId="0" borderId="60" xfId="0" applyNumberFormat="1" applyFont="1" applyBorder="1"/>
    <xf numFmtId="0" fontId="82" fillId="27" borderId="53" xfId="0" applyFont="1" applyFill="1" applyBorder="1" applyAlignment="1">
      <alignment horizontal="center"/>
    </xf>
    <xf numFmtId="0" fontId="82" fillId="27" borderId="28" xfId="0" applyFont="1" applyFill="1" applyBorder="1" applyAlignment="1">
      <alignment horizontal="center"/>
    </xf>
    <xf numFmtId="3" fontId="81" fillId="28" borderId="52" xfId="0" applyNumberFormat="1" applyFont="1" applyFill="1" applyBorder="1"/>
    <xf numFmtId="3" fontId="81" fillId="28" borderId="64" xfId="0" applyNumberFormat="1" applyFont="1" applyFill="1" applyBorder="1"/>
    <xf numFmtId="0" fontId="82" fillId="0" borderId="0" xfId="0" applyFont="1"/>
    <xf numFmtId="4" fontId="82" fillId="0" borderId="0" xfId="0" applyNumberFormat="1" applyFont="1"/>
    <xf numFmtId="3" fontId="82" fillId="0" borderId="60" xfId="0" applyNumberFormat="1" applyFont="1" applyBorder="1"/>
    <xf numFmtId="4" fontId="82" fillId="0" borderId="60" xfId="0" applyNumberFormat="1" applyFont="1" applyBorder="1"/>
    <xf numFmtId="0" fontId="82" fillId="0" borderId="90" xfId="0" applyFont="1" applyBorder="1" applyAlignment="1">
      <alignment horizontal="center"/>
    </xf>
    <xf numFmtId="0" fontId="82" fillId="0" borderId="44" xfId="0" applyFont="1" applyBorder="1" applyAlignment="1">
      <alignment horizontal="center"/>
    </xf>
    <xf numFmtId="0" fontId="82" fillId="27" borderId="70" xfId="0" applyFont="1" applyFill="1" applyBorder="1" applyAlignment="1">
      <alignment horizontal="center"/>
    </xf>
    <xf numFmtId="0" fontId="82" fillId="0" borderId="69" xfId="0" applyFont="1" applyBorder="1" applyAlignment="1">
      <alignment horizontal="center"/>
    </xf>
    <xf numFmtId="3" fontId="82" fillId="0" borderId="69" xfId="0" applyNumberFormat="1" applyFont="1" applyBorder="1" applyAlignment="1">
      <alignment horizontal="center"/>
    </xf>
    <xf numFmtId="4" fontId="82" fillId="0" borderId="69" xfId="0" applyNumberFormat="1" applyFont="1" applyBorder="1" applyAlignment="1">
      <alignment horizontal="center"/>
    </xf>
    <xf numFmtId="3" fontId="81" fillId="0" borderId="115" xfId="0" applyNumberFormat="1" applyFont="1" applyBorder="1"/>
    <xf numFmtId="4" fontId="81" fillId="0" borderId="115" xfId="0" applyNumberFormat="1" applyFont="1" applyBorder="1"/>
    <xf numFmtId="3" fontId="81" fillId="0" borderId="78" xfId="0" applyNumberFormat="1" applyFont="1" applyBorder="1"/>
    <xf numFmtId="4" fontId="81" fillId="0" borderId="78" xfId="0" applyNumberFormat="1" applyFont="1" applyBorder="1"/>
    <xf numFmtId="3" fontId="81" fillId="29" borderId="78" xfId="0" applyNumberFormat="1" applyFont="1" applyFill="1" applyBorder="1"/>
    <xf numFmtId="4" fontId="81" fillId="29" borderId="78" xfId="0" applyNumberFormat="1" applyFont="1" applyFill="1" applyBorder="1"/>
    <xf numFmtId="3" fontId="81" fillId="0" borderId="89" xfId="0" applyNumberFormat="1" applyFont="1" applyBorder="1"/>
    <xf numFmtId="4" fontId="81" fillId="0" borderId="89" xfId="0" applyNumberFormat="1" applyFont="1" applyBorder="1"/>
    <xf numFmtId="4" fontId="82" fillId="0" borderId="77" xfId="0" applyNumberFormat="1" applyFont="1" applyBorder="1"/>
    <xf numFmtId="3" fontId="82" fillId="0" borderId="70" xfId="0" applyNumberFormat="1" applyFont="1" applyBorder="1"/>
    <xf numFmtId="3" fontId="81" fillId="0" borderId="83" xfId="0" applyNumberFormat="1" applyFont="1" applyBorder="1"/>
    <xf numFmtId="4" fontId="81" fillId="0" borderId="83" xfId="0" applyNumberFormat="1" applyFont="1" applyBorder="1"/>
    <xf numFmtId="3" fontId="81" fillId="0" borderId="75" xfId="0" applyNumberFormat="1" applyFont="1" applyBorder="1" applyAlignment="1">
      <alignment horizontal="right"/>
    </xf>
    <xf numFmtId="3" fontId="85" fillId="0" borderId="75" xfId="0" applyNumberFormat="1" applyFont="1" applyBorder="1" applyAlignment="1">
      <alignment horizontal="right"/>
    </xf>
    <xf numFmtId="4" fontId="85" fillId="0" borderId="75" xfId="0" applyNumberFormat="1" applyFont="1" applyBorder="1" applyAlignment="1">
      <alignment horizontal="right"/>
    </xf>
    <xf numFmtId="3" fontId="81" fillId="0" borderId="75" xfId="78" applyNumberFormat="1" applyFont="1" applyBorder="1" applyAlignment="1">
      <alignment horizontal="right" wrapText="1"/>
    </xf>
    <xf numFmtId="3" fontId="85" fillId="0" borderId="75" xfId="78" applyNumberFormat="1" applyFont="1" applyBorder="1" applyAlignment="1">
      <alignment horizontal="right" wrapText="1"/>
    </xf>
    <xf numFmtId="3" fontId="81" fillId="0" borderId="73" xfId="0" applyNumberFormat="1" applyFont="1" applyBorder="1" applyAlignment="1">
      <alignment horizontal="right"/>
    </xf>
    <xf numFmtId="3" fontId="85" fillId="0" borderId="73" xfId="0" applyNumberFormat="1" applyFont="1" applyBorder="1" applyAlignment="1">
      <alignment horizontal="right"/>
    </xf>
    <xf numFmtId="4" fontId="85" fillId="0" borderId="73" xfId="0" applyNumberFormat="1" applyFont="1" applyBorder="1" applyAlignment="1">
      <alignment horizontal="right"/>
    </xf>
    <xf numFmtId="3" fontId="81" fillId="0" borderId="69" xfId="0" applyNumberFormat="1" applyFont="1" applyBorder="1" applyAlignment="1">
      <alignment horizontal="right"/>
    </xf>
    <xf numFmtId="3" fontId="85" fillId="0" borderId="69" xfId="0" applyNumberFormat="1" applyFont="1" applyBorder="1" applyAlignment="1">
      <alignment horizontal="right"/>
    </xf>
    <xf numFmtId="3" fontId="81" fillId="0" borderId="106" xfId="0" applyNumberFormat="1" applyFont="1" applyBorder="1" applyAlignment="1">
      <alignment horizontal="right"/>
    </xf>
    <xf numFmtId="3" fontId="85" fillId="0" borderId="106" xfId="0" applyNumberFormat="1" applyFont="1" applyBorder="1" applyAlignment="1">
      <alignment horizontal="right"/>
    </xf>
    <xf numFmtId="4" fontId="85" fillId="0" borderId="106" xfId="0" applyNumberFormat="1" applyFont="1" applyBorder="1" applyAlignment="1">
      <alignment horizontal="right"/>
    </xf>
    <xf numFmtId="3" fontId="82" fillId="0" borderId="70" xfId="0" applyNumberFormat="1" applyFont="1" applyBorder="1" applyAlignment="1">
      <alignment horizontal="right"/>
    </xf>
    <xf numFmtId="4" fontId="82" fillId="0" borderId="70" xfId="0" applyNumberFormat="1" applyFont="1" applyBorder="1" applyAlignment="1">
      <alignment horizontal="right"/>
    </xf>
    <xf numFmtId="3" fontId="82" fillId="0" borderId="89" xfId="0" applyNumberFormat="1" applyFont="1" applyBorder="1"/>
    <xf numFmtId="4" fontId="82" fillId="0" borderId="89" xfId="0" applyNumberFormat="1" applyFont="1" applyBorder="1"/>
    <xf numFmtId="3" fontId="82" fillId="0" borderId="76" xfId="0" applyNumberFormat="1" applyFont="1" applyBorder="1" applyAlignment="1">
      <alignment horizontal="right"/>
    </xf>
    <xf numFmtId="4" fontId="81" fillId="0" borderId="75" xfId="0" applyNumberFormat="1" applyFont="1" applyBorder="1" applyAlignment="1">
      <alignment horizontal="right"/>
    </xf>
    <xf numFmtId="4" fontId="85" fillId="0" borderId="73" xfId="0" applyNumberFormat="1" applyFont="1" applyBorder="1"/>
    <xf numFmtId="3" fontId="82" fillId="0" borderId="40" xfId="0" applyNumberFormat="1" applyFont="1" applyBorder="1"/>
    <xf numFmtId="3" fontId="81" fillId="28" borderId="72" xfId="0" applyNumberFormat="1" applyFont="1" applyFill="1" applyBorder="1"/>
    <xf numFmtId="3" fontId="82" fillId="0" borderId="87" xfId="0" applyNumberFormat="1" applyFont="1" applyBorder="1"/>
    <xf numFmtId="2" fontId="82" fillId="0" borderId="81" xfId="0" applyNumberFormat="1" applyFont="1" applyBorder="1"/>
    <xf numFmtId="3" fontId="82" fillId="0" borderId="81" xfId="0" applyNumberFormat="1" applyFont="1" applyBorder="1"/>
    <xf numFmtId="4" fontId="81" fillId="28" borderId="67" xfId="0" applyNumberFormat="1" applyFont="1" applyFill="1" applyBorder="1"/>
    <xf numFmtId="4" fontId="81" fillId="28" borderId="68" xfId="0" applyNumberFormat="1" applyFont="1" applyFill="1" applyBorder="1"/>
    <xf numFmtId="3" fontId="81" fillId="28" borderId="15" xfId="0" applyNumberFormat="1" applyFont="1" applyFill="1" applyBorder="1"/>
    <xf numFmtId="3" fontId="81" fillId="0" borderId="45" xfId="0" applyNumberFormat="1" applyFont="1" applyBorder="1"/>
    <xf numFmtId="3" fontId="81" fillId="0" borderId="46" xfId="0" applyNumberFormat="1" applyFont="1" applyBorder="1"/>
    <xf numFmtId="3" fontId="81" fillId="28" borderId="29" xfId="0" applyNumberFormat="1" applyFont="1" applyFill="1" applyBorder="1"/>
    <xf numFmtId="3" fontId="81" fillId="28" borderId="35" xfId="0" applyNumberFormat="1" applyFont="1" applyFill="1" applyBorder="1"/>
    <xf numFmtId="4" fontId="81" fillId="28" borderId="109" xfId="0" applyNumberFormat="1" applyFont="1" applyFill="1" applyBorder="1"/>
    <xf numFmtId="3" fontId="81" fillId="0" borderId="39" xfId="0" applyNumberFormat="1" applyFont="1" applyBorder="1"/>
    <xf numFmtId="4" fontId="81" fillId="0" borderId="71" xfId="0" applyNumberFormat="1" applyFont="1" applyBorder="1"/>
    <xf numFmtId="3" fontId="81" fillId="0" borderId="52" xfId="0" applyNumberFormat="1" applyFont="1" applyBorder="1"/>
    <xf numFmtId="3" fontId="82" fillId="0" borderId="103" xfId="0" applyNumberFormat="1" applyFont="1" applyBorder="1"/>
    <xf numFmtId="0" fontId="82" fillId="0" borderId="27" xfId="0" applyFont="1" applyBorder="1" applyAlignment="1">
      <alignment horizontal="center"/>
    </xf>
    <xf numFmtId="4" fontId="81" fillId="28" borderId="56" xfId="0" applyNumberFormat="1" applyFont="1" applyFill="1" applyBorder="1"/>
    <xf numFmtId="4" fontId="81" fillId="28" borderId="71" xfId="0" applyNumberFormat="1" applyFont="1" applyFill="1" applyBorder="1"/>
    <xf numFmtId="3" fontId="81" fillId="28" borderId="61" xfId="0" applyNumberFormat="1" applyFont="1" applyFill="1" applyBorder="1"/>
    <xf numFmtId="3" fontId="81" fillId="0" borderId="0" xfId="0" applyNumberFormat="1" applyFont="1"/>
    <xf numFmtId="0" fontId="82" fillId="27" borderId="47" xfId="0" applyFont="1" applyFill="1" applyBorder="1" applyAlignment="1">
      <alignment horizontal="center"/>
    </xf>
    <xf numFmtId="3" fontId="82" fillId="0" borderId="48" xfId="0" applyNumberFormat="1" applyFont="1" applyBorder="1"/>
    <xf numFmtId="3" fontId="82" fillId="0" borderId="33" xfId="0" applyNumberFormat="1" applyFont="1" applyBorder="1"/>
    <xf numFmtId="3" fontId="81" fillId="28" borderId="15" xfId="0" applyNumberFormat="1" applyFont="1" applyFill="1" applyBorder="1" applyAlignment="1">
      <alignment horizontal="right"/>
    </xf>
    <xf numFmtId="3" fontId="81" fillId="28" borderId="29" xfId="0" applyNumberFormat="1" applyFont="1" applyFill="1" applyBorder="1" applyAlignment="1">
      <alignment horizontal="right"/>
    </xf>
    <xf numFmtId="0" fontId="82" fillId="28" borderId="15" xfId="0" applyFont="1" applyFill="1" applyBorder="1" applyAlignment="1">
      <alignment horizontal="center"/>
    </xf>
    <xf numFmtId="2" fontId="81" fillId="28" borderId="59" xfId="0" applyNumberFormat="1" applyFont="1" applyFill="1" applyBorder="1"/>
    <xf numFmtId="0" fontId="82" fillId="28" borderId="36" xfId="0" applyFont="1" applyFill="1" applyBorder="1" applyAlignment="1">
      <alignment horizontal="center"/>
    </xf>
    <xf numFmtId="3" fontId="81" fillId="28" borderId="34" xfId="0" applyNumberFormat="1" applyFont="1" applyFill="1" applyBorder="1" applyAlignment="1">
      <alignment horizontal="right"/>
    </xf>
    <xf numFmtId="2" fontId="81" fillId="28" borderId="68" xfId="0" applyNumberFormat="1" applyFont="1" applyFill="1" applyBorder="1"/>
    <xf numFmtId="0" fontId="82" fillId="0" borderId="93" xfId="0" applyFont="1" applyBorder="1"/>
    <xf numFmtId="0" fontId="81" fillId="0" borderId="86" xfId="0" applyFont="1" applyBorder="1"/>
    <xf numFmtId="3" fontId="82" fillId="0" borderId="43" xfId="0" applyNumberFormat="1" applyFont="1" applyBorder="1" applyAlignment="1">
      <alignment horizontal="center"/>
    </xf>
    <xf numFmtId="0" fontId="82" fillId="27" borderId="16" xfId="0" applyFont="1" applyFill="1" applyBorder="1" applyAlignment="1">
      <alignment horizontal="center"/>
    </xf>
    <xf numFmtId="3" fontId="81" fillId="28" borderId="117" xfId="0" applyNumberFormat="1" applyFont="1" applyFill="1" applyBorder="1"/>
    <xf numFmtId="4" fontId="81" fillId="28" borderId="102" xfId="0" applyNumberFormat="1" applyFont="1" applyFill="1" applyBorder="1"/>
    <xf numFmtId="3" fontId="81" fillId="28" borderId="37" xfId="0" applyNumberFormat="1" applyFont="1" applyFill="1" applyBorder="1"/>
    <xf numFmtId="3" fontId="81" fillId="28" borderId="0" xfId="0" applyNumberFormat="1" applyFont="1" applyFill="1"/>
    <xf numFmtId="3" fontId="82" fillId="0" borderId="44" xfId="0" applyNumberFormat="1" applyFont="1" applyBorder="1" applyAlignment="1">
      <alignment horizontal="center"/>
    </xf>
    <xf numFmtId="3" fontId="81" fillId="0" borderId="116" xfId="0" applyNumberFormat="1" applyFont="1" applyBorder="1"/>
    <xf numFmtId="2" fontId="81" fillId="0" borderId="59" xfId="0" applyNumberFormat="1" applyFont="1" applyBorder="1"/>
    <xf numFmtId="3" fontId="81" fillId="0" borderId="21" xfId="0" applyNumberFormat="1" applyFont="1" applyBorder="1"/>
    <xf numFmtId="2" fontId="81" fillId="0" borderId="60" xfId="0" applyNumberFormat="1" applyFont="1" applyBorder="1"/>
    <xf numFmtId="2" fontId="81" fillId="0" borderId="27" xfId="0" applyNumberFormat="1" applyFont="1" applyBorder="1"/>
    <xf numFmtId="4" fontId="81" fillId="28" borderId="59" xfId="0" applyNumberFormat="1" applyFont="1" applyFill="1" applyBorder="1"/>
    <xf numFmtId="3" fontId="82" fillId="0" borderId="32" xfId="0" applyNumberFormat="1" applyFont="1" applyBorder="1"/>
    <xf numFmtId="3" fontId="82" fillId="0" borderId="49" xfId="0" applyNumberFormat="1" applyFont="1" applyBorder="1"/>
    <xf numFmtId="4" fontId="82" fillId="0" borderId="58" xfId="0" applyNumberFormat="1" applyFont="1" applyBorder="1"/>
    <xf numFmtId="2" fontId="81" fillId="0" borderId="114" xfId="0" applyNumberFormat="1" applyFont="1" applyBorder="1"/>
    <xf numFmtId="3" fontId="85" fillId="28" borderId="36" xfId="0" applyNumberFormat="1" applyFont="1" applyFill="1" applyBorder="1"/>
    <xf numFmtId="4" fontId="85" fillId="28" borderId="67" xfId="0" applyNumberFormat="1" applyFont="1" applyFill="1" applyBorder="1"/>
    <xf numFmtId="3" fontId="85" fillId="28" borderId="15" xfId="0" applyNumberFormat="1" applyFont="1" applyFill="1" applyBorder="1"/>
    <xf numFmtId="3" fontId="85" fillId="0" borderId="36" xfId="0" applyNumberFormat="1" applyFont="1" applyBorder="1"/>
    <xf numFmtId="4" fontId="85" fillId="0" borderId="68" xfId="0" applyNumberFormat="1" applyFont="1" applyBorder="1"/>
    <xf numFmtId="2" fontId="85" fillId="0" borderId="67" xfId="0" applyNumberFormat="1" applyFont="1" applyBorder="1"/>
    <xf numFmtId="3" fontId="85" fillId="28" borderId="51" xfId="0" applyNumberFormat="1" applyFont="1" applyFill="1" applyBorder="1"/>
    <xf numFmtId="3" fontId="85" fillId="0" borderId="51" xfId="0" applyNumberFormat="1" applyFont="1" applyBorder="1"/>
    <xf numFmtId="3" fontId="85" fillId="0" borderId="65" xfId="0" applyNumberFormat="1" applyFont="1" applyBorder="1"/>
    <xf numFmtId="3" fontId="85" fillId="0" borderId="34" xfId="0" applyNumberFormat="1" applyFont="1" applyBorder="1"/>
    <xf numFmtId="2" fontId="85" fillId="0" borderId="68" xfId="0" applyNumberFormat="1" applyFont="1" applyBorder="1"/>
    <xf numFmtId="3" fontId="85" fillId="0" borderId="110" xfId="0" applyNumberFormat="1" applyFont="1" applyBorder="1"/>
    <xf numFmtId="4" fontId="85" fillId="28" borderId="68" xfId="0" applyNumberFormat="1" applyFont="1" applyFill="1" applyBorder="1"/>
    <xf numFmtId="3" fontId="85" fillId="29" borderId="34" xfId="0" applyNumberFormat="1" applyFont="1" applyFill="1" applyBorder="1"/>
    <xf numFmtId="3" fontId="85" fillId="0" borderId="29" xfId="0" applyNumberFormat="1" applyFont="1" applyBorder="1"/>
    <xf numFmtId="3" fontId="82" fillId="0" borderId="82" xfId="0" applyNumberFormat="1" applyFont="1" applyBorder="1"/>
    <xf numFmtId="3" fontId="83" fillId="0" borderId="82" xfId="0" applyNumberFormat="1" applyFont="1" applyBorder="1"/>
    <xf numFmtId="2" fontId="83" fillId="0" borderId="56" xfId="0" applyNumberFormat="1" applyFont="1" applyBorder="1"/>
    <xf numFmtId="3" fontId="82" fillId="0" borderId="47" xfId="0" applyNumberFormat="1" applyFont="1" applyBorder="1"/>
    <xf numFmtId="3" fontId="83" fillId="0" borderId="47" xfId="0" applyNumberFormat="1" applyFont="1" applyBorder="1"/>
    <xf numFmtId="2" fontId="83" fillId="0" borderId="27" xfId="0" applyNumberFormat="1" applyFont="1" applyBorder="1"/>
    <xf numFmtId="3" fontId="83" fillId="0" borderId="34" xfId="0" applyNumberFormat="1" applyFont="1" applyBorder="1"/>
    <xf numFmtId="3" fontId="85" fillId="0" borderId="35" xfId="0" applyNumberFormat="1" applyFont="1" applyBorder="1"/>
    <xf numFmtId="2" fontId="85" fillId="0" borderId="109" xfId="0" applyNumberFormat="1" applyFont="1" applyBorder="1"/>
    <xf numFmtId="2" fontId="83" fillId="0" borderId="28" xfId="0" applyNumberFormat="1" applyFont="1" applyBorder="1"/>
    <xf numFmtId="3" fontId="83" fillId="0" borderId="48" xfId="0" applyNumberFormat="1" applyFont="1" applyBorder="1"/>
    <xf numFmtId="2" fontId="83" fillId="0" borderId="60" xfId="0" applyNumberFormat="1" applyFont="1" applyBorder="1"/>
    <xf numFmtId="3" fontId="82" fillId="0" borderId="54" xfId="0" applyNumberFormat="1" applyFont="1" applyBorder="1" applyAlignment="1">
      <alignment horizontal="center"/>
    </xf>
    <xf numFmtId="2" fontId="81" fillId="0" borderId="71" xfId="0" applyNumberFormat="1" applyFont="1" applyBorder="1"/>
    <xf numFmtId="3" fontId="81" fillId="28" borderId="29" xfId="0" applyNumberFormat="1" applyFont="1" applyFill="1" applyBorder="1" applyProtection="1">
      <protection locked="0"/>
    </xf>
    <xf numFmtId="3" fontId="81" fillId="28" borderId="65" xfId="0" applyNumberFormat="1" applyFont="1" applyFill="1" applyBorder="1" applyProtection="1">
      <protection locked="0"/>
    </xf>
    <xf numFmtId="3" fontId="81" fillId="28" borderId="34" xfId="0" applyNumberFormat="1" applyFont="1" applyFill="1" applyBorder="1" applyProtection="1">
      <protection locked="0"/>
    </xf>
    <xf numFmtId="2" fontId="81" fillId="28" borderId="71" xfId="0" applyNumberFormat="1" applyFont="1" applyFill="1" applyBorder="1"/>
    <xf numFmtId="3" fontId="81" fillId="0" borderId="15" xfId="77" applyNumberFormat="1" applyFont="1" applyBorder="1" applyAlignment="1">
      <alignment horizontal="center"/>
    </xf>
    <xf numFmtId="3" fontId="81" fillId="0" borderId="15" xfId="77" applyNumberFormat="1" applyFont="1" applyBorder="1"/>
    <xf numFmtId="3" fontId="81" fillId="0" borderId="36" xfId="77" applyNumberFormat="1" applyFont="1" applyBorder="1" applyAlignment="1">
      <alignment horizontal="right"/>
    </xf>
    <xf numFmtId="3" fontId="85" fillId="0" borderId="36" xfId="77" applyNumberFormat="1" applyFont="1" applyBorder="1"/>
    <xf numFmtId="3" fontId="81" fillId="0" borderId="15" xfId="77" applyNumberFormat="1" applyFont="1" applyBorder="1" applyAlignment="1">
      <alignment horizontal="right"/>
    </xf>
    <xf numFmtId="3" fontId="85" fillId="0" borderId="15" xfId="77" applyNumberFormat="1" applyFont="1" applyBorder="1"/>
    <xf numFmtId="3" fontId="82" fillId="0" borderId="32" xfId="77" applyNumberFormat="1" applyFont="1" applyBorder="1"/>
    <xf numFmtId="3" fontId="81" fillId="0" borderId="36" xfId="77" applyNumberFormat="1" applyFont="1" applyBorder="1"/>
    <xf numFmtId="3" fontId="81" fillId="0" borderId="52" xfId="77" applyNumberFormat="1" applyFont="1" applyBorder="1" applyAlignment="1">
      <alignment horizontal="right"/>
    </xf>
    <xf numFmtId="3" fontId="81" fillId="0" borderId="51" xfId="77" applyNumberFormat="1" applyFont="1" applyBorder="1"/>
    <xf numFmtId="3" fontId="81" fillId="0" borderId="39" xfId="77" applyNumberFormat="1" applyFont="1" applyBorder="1"/>
    <xf numFmtId="3" fontId="85" fillId="0" borderId="39" xfId="77" applyNumberFormat="1" applyFont="1" applyBorder="1"/>
    <xf numFmtId="3" fontId="85" fillId="0" borderId="51" xfId="77" applyNumberFormat="1" applyFont="1" applyBorder="1"/>
    <xf numFmtId="3" fontId="85" fillId="0" borderId="126" xfId="77" applyNumberFormat="1" applyFont="1" applyBorder="1"/>
    <xf numFmtId="3" fontId="81" fillId="0" borderId="51" xfId="77" applyNumberFormat="1" applyFont="1" applyBorder="1" applyAlignment="1">
      <alignment horizontal="right"/>
    </xf>
    <xf numFmtId="3" fontId="81" fillId="0" borderId="52" xfId="77" applyNumberFormat="1" applyFont="1" applyBorder="1"/>
    <xf numFmtId="3" fontId="81" fillId="0" borderId="92" xfId="77" applyNumberFormat="1" applyFont="1" applyBorder="1"/>
    <xf numFmtId="3" fontId="85" fillId="0" borderId="52" xfId="77" applyNumberFormat="1" applyFont="1" applyBorder="1"/>
    <xf numFmtId="3" fontId="81" fillId="0" borderId="31" xfId="77" applyNumberFormat="1" applyFont="1" applyBorder="1"/>
    <xf numFmtId="3" fontId="85" fillId="0" borderId="92" xfId="77" applyNumberFormat="1" applyFont="1" applyBorder="1"/>
    <xf numFmtId="3" fontId="82" fillId="0" borderId="32" xfId="77" applyNumberFormat="1" applyFont="1" applyBorder="1" applyAlignment="1">
      <alignment horizontal="right"/>
    </xf>
    <xf numFmtId="3" fontId="82" fillId="0" borderId="127" xfId="77" applyNumberFormat="1" applyFont="1" applyBorder="1" applyAlignment="1">
      <alignment horizontal="right"/>
    </xf>
    <xf numFmtId="3" fontId="82" fillId="0" borderId="134" xfId="77" applyNumberFormat="1" applyFont="1" applyBorder="1" applyAlignment="1">
      <alignment horizontal="right"/>
    </xf>
    <xf numFmtId="3" fontId="82" fillId="0" borderId="15" xfId="77" applyNumberFormat="1" applyFont="1" applyBorder="1"/>
    <xf numFmtId="3" fontId="81" fillId="0" borderId="114" xfId="77" applyNumberFormat="1" applyFont="1" applyBorder="1"/>
    <xf numFmtId="3" fontId="82" fillId="0" borderId="43" xfId="77" applyNumberFormat="1" applyFont="1" applyBorder="1"/>
    <xf numFmtId="3" fontId="82" fillId="0" borderId="21" xfId="77" applyNumberFormat="1" applyFont="1" applyBorder="1"/>
    <xf numFmtId="2" fontId="82" fillId="0" borderId="54" xfId="77" applyNumberFormat="1" applyFont="1" applyBorder="1"/>
    <xf numFmtId="3" fontId="82" fillId="0" borderId="63" xfId="0" applyNumberFormat="1" applyFont="1" applyBorder="1"/>
    <xf numFmtId="3" fontId="82" fillId="0" borderId="16" xfId="0" applyNumberFormat="1" applyFont="1" applyBorder="1" applyAlignment="1">
      <alignment horizontal="left"/>
    </xf>
    <xf numFmtId="0" fontId="82" fillId="0" borderId="23" xfId="0" applyFont="1" applyBorder="1" applyAlignment="1">
      <alignment horizontal="left"/>
    </xf>
    <xf numFmtId="3" fontId="82" fillId="0" borderId="46" xfId="0" applyNumberFormat="1" applyFont="1" applyBorder="1" applyAlignment="1">
      <alignment horizontal="left"/>
    </xf>
    <xf numFmtId="0" fontId="82" fillId="0" borderId="18" xfId="0" applyFont="1" applyBorder="1" applyAlignment="1">
      <alignment horizontal="left"/>
    </xf>
    <xf numFmtId="3" fontId="82" fillId="0" borderId="0" xfId="0" applyNumberFormat="1" applyFont="1" applyAlignment="1">
      <alignment horizontal="left"/>
    </xf>
    <xf numFmtId="3" fontId="82" fillId="0" borderId="19" xfId="0" applyNumberFormat="1" applyFont="1" applyBorder="1" applyAlignment="1">
      <alignment horizontal="centerContinuous"/>
    </xf>
    <xf numFmtId="3" fontId="82" fillId="0" borderId="16" xfId="0" applyNumberFormat="1" applyFont="1" applyBorder="1" applyAlignment="1">
      <alignment horizontal="centerContinuous"/>
    </xf>
    <xf numFmtId="3" fontId="82" fillId="0" borderId="16" xfId="0" applyNumberFormat="1" applyFont="1" applyBorder="1" applyAlignment="1">
      <alignment horizontal="right"/>
    </xf>
    <xf numFmtId="3" fontId="81" fillId="29" borderId="21" xfId="0" applyNumberFormat="1" applyFont="1" applyFill="1" applyBorder="1"/>
    <xf numFmtId="3" fontId="81" fillId="29" borderId="73" xfId="0" applyNumberFormat="1" applyFont="1" applyFill="1" applyBorder="1" applyProtection="1">
      <protection locked="0"/>
    </xf>
    <xf numFmtId="3" fontId="81" fillId="29" borderId="72" xfId="0" applyNumberFormat="1" applyFont="1" applyFill="1" applyBorder="1"/>
    <xf numFmtId="0" fontId="73" fillId="0" borderId="95" xfId="77" applyFont="1" applyBorder="1" applyAlignment="1">
      <alignment horizontal="justify"/>
    </xf>
    <xf numFmtId="3" fontId="81" fillId="0" borderId="64" xfId="77" applyNumberFormat="1" applyFont="1" applyBorder="1" applyAlignment="1">
      <alignment horizontal="right"/>
    </xf>
    <xf numFmtId="3" fontId="85" fillId="0" borderId="64" xfId="77" applyNumberFormat="1" applyFont="1" applyBorder="1"/>
    <xf numFmtId="0" fontId="4" fillId="0" borderId="66" xfId="0" applyFont="1" applyBorder="1" applyAlignment="1">
      <alignment wrapText="1"/>
    </xf>
    <xf numFmtId="3" fontId="82" fillId="0" borderId="58" xfId="77" applyNumberFormat="1" applyFont="1" applyBorder="1"/>
    <xf numFmtId="3" fontId="81" fillId="29" borderId="39" xfId="77" applyNumberFormat="1" applyFont="1" applyFill="1" applyBorder="1"/>
    <xf numFmtId="3" fontId="85" fillId="29" borderId="36" xfId="77" applyNumberFormat="1" applyFont="1" applyFill="1" applyBorder="1"/>
    <xf numFmtId="3" fontId="81" fillId="29" borderId="36" xfId="77" applyNumberFormat="1" applyFont="1" applyFill="1" applyBorder="1"/>
    <xf numFmtId="3" fontId="81" fillId="29" borderId="52" xfId="77" applyNumberFormat="1" applyFont="1" applyFill="1" applyBorder="1"/>
    <xf numFmtId="3" fontId="81" fillId="29" borderId="92" xfId="77" applyNumberFormat="1" applyFont="1" applyFill="1" applyBorder="1"/>
    <xf numFmtId="2" fontId="81" fillId="29" borderId="67" xfId="0" applyNumberFormat="1" applyFont="1" applyFill="1" applyBorder="1"/>
    <xf numFmtId="3" fontId="85" fillId="29" borderId="65" xfId="0" applyNumberFormat="1" applyFont="1" applyFill="1" applyBorder="1"/>
    <xf numFmtId="2" fontId="85" fillId="29" borderId="67" xfId="0" applyNumberFormat="1" applyFont="1" applyFill="1" applyBorder="1"/>
    <xf numFmtId="0" fontId="72" fillId="0" borderId="57" xfId="77" applyFont="1" applyBorder="1" applyAlignment="1">
      <alignment horizontal="right"/>
    </xf>
    <xf numFmtId="0" fontId="72" fillId="0" borderId="104" xfId="77" applyFont="1" applyBorder="1"/>
    <xf numFmtId="0" fontId="73" fillId="0" borderId="98" xfId="77" applyFont="1" applyBorder="1" applyAlignment="1">
      <alignment horizontal="right"/>
    </xf>
    <xf numFmtId="0" fontId="73" fillId="0" borderId="91" xfId="77" applyFont="1" applyBorder="1"/>
    <xf numFmtId="3" fontId="81" fillId="0" borderId="101" xfId="77" applyNumberFormat="1" applyFont="1" applyBorder="1" applyAlignment="1">
      <alignment horizontal="right"/>
    </xf>
    <xf numFmtId="3" fontId="81" fillId="0" borderId="101" xfId="77" applyNumberFormat="1" applyFont="1" applyBorder="1"/>
    <xf numFmtId="0" fontId="73" fillId="0" borderId="92" xfId="0" applyFont="1" applyBorder="1" applyAlignment="1">
      <alignment wrapText="1"/>
    </xf>
    <xf numFmtId="3" fontId="82" fillId="0" borderId="55" xfId="77" applyNumberFormat="1" applyFont="1" applyBorder="1"/>
    <xf numFmtId="3" fontId="3" fillId="0" borderId="0" xfId="77" applyNumberFormat="1" applyFont="1"/>
    <xf numFmtId="0" fontId="35" fillId="0" borderId="0" xfId="0" applyFont="1"/>
    <xf numFmtId="0" fontId="15" fillId="0" borderId="0" xfId="0" applyFont="1"/>
    <xf numFmtId="0" fontId="35" fillId="0" borderId="0" xfId="0" applyFont="1" applyAlignment="1">
      <alignment wrapText="1"/>
    </xf>
    <xf numFmtId="49" fontId="35" fillId="0" borderId="0" xfId="0" applyNumberFormat="1" applyFont="1"/>
    <xf numFmtId="0" fontId="8" fillId="0" borderId="0" xfId="78"/>
    <xf numFmtId="0" fontId="14" fillId="0" borderId="0" xfId="78" applyFont="1"/>
    <xf numFmtId="0" fontId="87" fillId="0" borderId="0" xfId="77" applyFont="1"/>
    <xf numFmtId="3" fontId="87" fillId="0" borderId="0" xfId="77" applyNumberFormat="1" applyFont="1"/>
    <xf numFmtId="0" fontId="89" fillId="0" borderId="0" xfId="89" applyFont="1"/>
    <xf numFmtId="0" fontId="90" fillId="0" borderId="0" xfId="89" applyFont="1"/>
    <xf numFmtId="0" fontId="36" fillId="0" borderId="0" xfId="77" applyFont="1"/>
    <xf numFmtId="0" fontId="90" fillId="0" borderId="0" xfId="90" applyFont="1"/>
    <xf numFmtId="0" fontId="91" fillId="0" borderId="0" xfId="90" applyFont="1"/>
    <xf numFmtId="0" fontId="90" fillId="0" borderId="0" xfId="90" applyFont="1" applyAlignment="1">
      <alignment horizontal="center"/>
    </xf>
    <xf numFmtId="0" fontId="93" fillId="0" borderId="0" xfId="90" applyFont="1" applyAlignment="1">
      <alignment horizontal="center"/>
    </xf>
    <xf numFmtId="0" fontId="93" fillId="0" borderId="0" xfId="90" applyFont="1"/>
    <xf numFmtId="0" fontId="15" fillId="0" borderId="0" xfId="90" applyFont="1"/>
    <xf numFmtId="3" fontId="93" fillId="0" borderId="0" xfId="90" applyNumberFormat="1" applyFont="1"/>
    <xf numFmtId="0" fontId="10" fillId="0" borderId="0" xfId="91" applyFont="1"/>
    <xf numFmtId="0" fontId="9" fillId="0" borderId="0" xfId="91" applyFont="1"/>
    <xf numFmtId="3" fontId="9" fillId="0" borderId="0" xfId="91" applyNumberFormat="1" applyFont="1"/>
    <xf numFmtId="3" fontId="10" fillId="0" borderId="0" xfId="91" applyNumberFormat="1" applyFont="1"/>
    <xf numFmtId="0" fontId="11" fillId="0" borderId="0" xfId="91" applyFont="1"/>
    <xf numFmtId="0" fontId="94" fillId="0" borderId="0" xfId="0" applyFont="1"/>
    <xf numFmtId="0" fontId="91" fillId="0" borderId="0" xfId="92" applyFont="1"/>
    <xf numFmtId="3" fontId="91" fillId="0" borderId="0" xfId="92" applyNumberFormat="1" applyFont="1"/>
    <xf numFmtId="0" fontId="95" fillId="0" borderId="0" xfId="90" applyFont="1"/>
    <xf numFmtId="0" fontId="96" fillId="0" borderId="0" xfId="92" applyFont="1"/>
    <xf numFmtId="4" fontId="96" fillId="0" borderId="0" xfId="92" applyNumberFormat="1" applyFont="1"/>
    <xf numFmtId="3" fontId="96" fillId="0" borderId="0" xfId="92" applyNumberFormat="1" applyFont="1"/>
    <xf numFmtId="0" fontId="70" fillId="0" borderId="0" xfId="0" applyFont="1" applyAlignment="1">
      <alignment vertical="center" wrapText="1"/>
    </xf>
    <xf numFmtId="0" fontId="70" fillId="0" borderId="0" xfId="92" applyFont="1"/>
    <xf numFmtId="0" fontId="8" fillId="0" borderId="0" xfId="93"/>
    <xf numFmtId="3" fontId="8" fillId="0" borderId="0" xfId="93" applyNumberFormat="1"/>
    <xf numFmtId="3" fontId="91" fillId="0" borderId="0" xfId="94" applyNumberFormat="1" applyFont="1" applyAlignment="1">
      <alignment horizontal="center"/>
    </xf>
    <xf numFmtId="3" fontId="91" fillId="0" borderId="0" xfId="94" applyNumberFormat="1" applyFont="1"/>
    <xf numFmtId="3" fontId="96" fillId="0" borderId="0" xfId="94" applyNumberFormat="1" applyFont="1"/>
    <xf numFmtId="3" fontId="97" fillId="0" borderId="0" xfId="94" applyNumberFormat="1" applyFont="1"/>
    <xf numFmtId="3" fontId="98" fillId="0" borderId="0" xfId="94" applyNumberFormat="1" applyFont="1"/>
    <xf numFmtId="3" fontId="88" fillId="0" borderId="0" xfId="94" applyNumberFormat="1" applyFont="1"/>
    <xf numFmtId="3" fontId="89" fillId="0" borderId="0" xfId="94" applyNumberFormat="1" applyFont="1"/>
    <xf numFmtId="3" fontId="86" fillId="0" borderId="0" xfId="94" applyNumberFormat="1" applyFont="1"/>
    <xf numFmtId="3" fontId="15" fillId="0" borderId="0" xfId="94" applyNumberFormat="1" applyFont="1"/>
    <xf numFmtId="3" fontId="35" fillId="0" borderId="0" xfId="94" applyNumberFormat="1" applyFont="1"/>
    <xf numFmtId="0" fontId="101" fillId="0" borderId="0" xfId="98" applyFont="1"/>
    <xf numFmtId="0" fontId="102" fillId="0" borderId="0" xfId="98" applyFont="1"/>
    <xf numFmtId="0" fontId="102" fillId="0" borderId="0" xfId="98" applyFont="1" applyAlignment="1">
      <alignment horizontal="right"/>
    </xf>
    <xf numFmtId="3" fontId="102" fillId="0" borderId="0" xfId="98" applyNumberFormat="1" applyFont="1" applyAlignment="1">
      <alignment horizontal="right" vertical="center"/>
    </xf>
    <xf numFmtId="0" fontId="102" fillId="0" borderId="0" xfId="98" applyFont="1" applyAlignment="1">
      <alignment horizontal="right" vertical="center"/>
    </xf>
    <xf numFmtId="3" fontId="102" fillId="0" borderId="0" xfId="98" applyNumberFormat="1" applyFont="1"/>
    <xf numFmtId="3" fontId="35" fillId="0" borderId="0" xfId="98" applyNumberFormat="1" applyFont="1"/>
    <xf numFmtId="3" fontId="35" fillId="0" borderId="0" xfId="98" applyNumberFormat="1" applyFont="1" applyAlignment="1">
      <alignment horizontal="center"/>
    </xf>
    <xf numFmtId="0" fontId="35" fillId="0" borderId="0" xfId="98" applyFont="1"/>
    <xf numFmtId="0" fontId="59" fillId="0" borderId="0" xfId="99" applyFont="1"/>
    <xf numFmtId="0" fontId="11" fillId="0" borderId="0" xfId="99" applyFont="1"/>
    <xf numFmtId="0" fontId="10" fillId="0" borderId="0" xfId="99" applyFont="1"/>
    <xf numFmtId="0" fontId="9" fillId="0" borderId="0" xfId="99" applyFont="1"/>
    <xf numFmtId="0" fontId="37" fillId="0" borderId="83" xfId="99" applyFont="1" applyBorder="1" applyAlignment="1">
      <alignment horizontal="center"/>
    </xf>
    <xf numFmtId="0" fontId="58" fillId="0" borderId="0" xfId="99" applyFont="1"/>
    <xf numFmtId="0" fontId="37" fillId="0" borderId="69" xfId="99" applyFont="1" applyBorder="1" applyAlignment="1">
      <alignment horizontal="center"/>
    </xf>
    <xf numFmtId="0" fontId="37" fillId="0" borderId="70" xfId="99" applyFont="1" applyBorder="1" applyAlignment="1">
      <alignment horizontal="center"/>
    </xf>
    <xf numFmtId="0" fontId="103" fillId="0" borderId="0" xfId="99" applyFont="1" applyAlignment="1">
      <alignment horizontal="center"/>
    </xf>
    <xf numFmtId="0" fontId="17" fillId="0" borderId="69" xfId="99" applyFont="1" applyBorder="1" applyAlignment="1">
      <alignment horizontal="center"/>
    </xf>
    <xf numFmtId="0" fontId="104" fillId="0" borderId="0" xfId="99" applyFont="1" applyAlignment="1">
      <alignment horizontal="center"/>
    </xf>
    <xf numFmtId="3" fontId="37" fillId="0" borderId="115" xfId="99" applyNumberFormat="1" applyFont="1" applyBorder="1" applyAlignment="1">
      <alignment horizontal="center"/>
    </xf>
    <xf numFmtId="3" fontId="67" fillId="0" borderId="0" xfId="99" applyNumberFormat="1" applyFont="1"/>
    <xf numFmtId="3" fontId="10" fillId="0" borderId="0" xfId="99" applyNumberFormat="1" applyFont="1"/>
    <xf numFmtId="3" fontId="37" fillId="0" borderId="78" xfId="99" applyNumberFormat="1" applyFont="1" applyBorder="1" applyAlignment="1">
      <alignment horizontal="center"/>
    </xf>
    <xf numFmtId="3" fontId="106" fillId="0" borderId="0" xfId="99" applyNumberFormat="1" applyFont="1"/>
    <xf numFmtId="3" fontId="37" fillId="0" borderId="77" xfId="99" applyNumberFormat="1" applyFont="1" applyBorder="1" applyAlignment="1">
      <alignment horizontal="center"/>
    </xf>
    <xf numFmtId="0" fontId="17" fillId="0" borderId="0" xfId="99" applyFont="1"/>
    <xf numFmtId="3" fontId="17" fillId="0" borderId="77" xfId="99" applyNumberFormat="1" applyFont="1" applyBorder="1" applyAlignment="1">
      <alignment horizontal="center"/>
    </xf>
    <xf numFmtId="3" fontId="17" fillId="0" borderId="69" xfId="99" applyNumberFormat="1" applyFont="1" applyBorder="1" applyAlignment="1">
      <alignment horizontal="center"/>
    </xf>
    <xf numFmtId="3" fontId="9" fillId="0" borderId="77" xfId="99" applyNumberFormat="1" applyFont="1" applyBorder="1" applyAlignment="1">
      <alignment horizontal="center"/>
    </xf>
    <xf numFmtId="3" fontId="9" fillId="0" borderId="0" xfId="99" applyNumberFormat="1" applyFont="1"/>
    <xf numFmtId="3" fontId="10" fillId="0" borderId="46" xfId="99" applyNumberFormat="1" applyFont="1" applyBorder="1"/>
    <xf numFmtId="3" fontId="11" fillId="0" borderId="0" xfId="99" applyNumberFormat="1" applyFont="1"/>
    <xf numFmtId="0" fontId="10" fillId="0" borderId="0" xfId="99" applyFont="1" applyAlignment="1">
      <alignment horizontal="right"/>
    </xf>
    <xf numFmtId="3" fontId="107" fillId="0" borderId="0" xfId="99" applyNumberFormat="1" applyFont="1"/>
    <xf numFmtId="0" fontId="10" fillId="0" borderId="0" xfId="99" applyFont="1" applyAlignment="1">
      <alignment horizontal="left"/>
    </xf>
    <xf numFmtId="49" fontId="10" fillId="0" borderId="0" xfId="99" applyNumberFormat="1" applyFont="1" applyAlignment="1">
      <alignment horizontal="left"/>
    </xf>
    <xf numFmtId="0" fontId="87" fillId="0" borderId="0" xfId="101" applyFont="1"/>
    <xf numFmtId="3" fontId="87" fillId="0" borderId="0" xfId="101" applyNumberFormat="1" applyFont="1"/>
    <xf numFmtId="0" fontId="99" fillId="0" borderId="0" xfId="101" applyFont="1" applyAlignment="1">
      <alignment horizontal="center"/>
    </xf>
    <xf numFmtId="0" fontId="82" fillId="27" borderId="46" xfId="0" applyFont="1" applyFill="1" applyBorder="1" applyAlignment="1">
      <alignment horizontal="center"/>
    </xf>
    <xf numFmtId="3" fontId="91" fillId="0" borderId="0" xfId="90" applyNumberFormat="1" applyFont="1"/>
    <xf numFmtId="0" fontId="65" fillId="0" borderId="0" xfId="77" applyFont="1"/>
    <xf numFmtId="0" fontId="109" fillId="0" borderId="23" xfId="99" applyFont="1" applyBorder="1" applyAlignment="1">
      <alignment horizontal="center"/>
    </xf>
    <xf numFmtId="0" fontId="109" fillId="0" borderId="83" xfId="99" applyFont="1" applyBorder="1" applyAlignment="1">
      <alignment horizontal="center"/>
    </xf>
    <xf numFmtId="0" fontId="109" fillId="0" borderId="53" xfId="99" applyFont="1" applyBorder="1" applyAlignment="1">
      <alignment horizontal="center"/>
    </xf>
    <xf numFmtId="0" fontId="109" fillId="0" borderId="46" xfId="99" applyFont="1" applyBorder="1" applyAlignment="1">
      <alignment horizontal="center"/>
    </xf>
    <xf numFmtId="0" fontId="110" fillId="0" borderId="18" xfId="99" applyFont="1" applyBorder="1"/>
    <xf numFmtId="0" fontId="109" fillId="0" borderId="69" xfId="99" applyFont="1" applyBorder="1" applyAlignment="1">
      <alignment horizontal="center"/>
    </xf>
    <xf numFmtId="0" fontId="109" fillId="0" borderId="86" xfId="99" applyFont="1" applyBorder="1" applyAlignment="1">
      <alignment horizontal="center"/>
    </xf>
    <xf numFmtId="0" fontId="110" fillId="0" borderId="0" xfId="99" applyFont="1"/>
    <xf numFmtId="0" fontId="109" fillId="0" borderId="0" xfId="99" applyFont="1" applyAlignment="1">
      <alignment horizontal="center"/>
    </xf>
    <xf numFmtId="0" fontId="110" fillId="0" borderId="19" xfId="99" applyFont="1" applyBorder="1"/>
    <xf numFmtId="0" fontId="109" fillId="0" borderId="70" xfId="99" applyFont="1" applyBorder="1" applyAlignment="1">
      <alignment horizontal="center" vertical="center" wrapText="1"/>
    </xf>
    <xf numFmtId="0" fontId="109" fillId="0" borderId="84" xfId="99" applyFont="1" applyBorder="1" applyAlignment="1">
      <alignment horizontal="center" vertical="center" wrapText="1"/>
    </xf>
    <xf numFmtId="0" fontId="109" fillId="0" borderId="84" xfId="99" applyFont="1" applyBorder="1" applyAlignment="1">
      <alignment horizontal="justify"/>
    </xf>
    <xf numFmtId="0" fontId="109" fillId="0" borderId="70" xfId="99" applyFont="1" applyBorder="1" applyAlignment="1">
      <alignment horizontal="center"/>
    </xf>
    <xf numFmtId="0" fontId="110" fillId="0" borderId="16" xfId="99" applyFont="1" applyBorder="1"/>
    <xf numFmtId="0" fontId="109" fillId="0" borderId="16" xfId="99" applyFont="1" applyBorder="1" applyAlignment="1">
      <alignment horizontal="center" vertical="center" wrapText="1"/>
    </xf>
    <xf numFmtId="0" fontId="109" fillId="0" borderId="70" xfId="99" applyFont="1" applyBorder="1" applyAlignment="1">
      <alignment horizontal="justify"/>
    </xf>
    <xf numFmtId="0" fontId="110" fillId="0" borderId="98" xfId="100" applyFont="1" applyBorder="1"/>
    <xf numFmtId="3" fontId="111" fillId="0" borderId="115" xfId="99" applyNumberFormat="1" applyFont="1" applyBorder="1"/>
    <xf numFmtId="3" fontId="109" fillId="0" borderId="115" xfId="99" applyNumberFormat="1" applyFont="1" applyBorder="1"/>
    <xf numFmtId="3" fontId="109" fillId="0" borderId="69" xfId="99" applyNumberFormat="1" applyFont="1" applyBorder="1" applyAlignment="1">
      <alignment horizontal="center"/>
    </xf>
    <xf numFmtId="3" fontId="111" fillId="0" borderId="69" xfId="99" applyNumberFormat="1" applyFont="1" applyBorder="1"/>
    <xf numFmtId="3" fontId="109" fillId="0" borderId="78" xfId="99" applyNumberFormat="1" applyFont="1" applyBorder="1" applyAlignment="1">
      <alignment horizontal="center"/>
    </xf>
    <xf numFmtId="0" fontId="110" fillId="0" borderId="26" xfId="100" applyFont="1" applyBorder="1"/>
    <xf numFmtId="3" fontId="111" fillId="0" borderId="78" xfId="99" applyNumberFormat="1" applyFont="1" applyBorder="1"/>
    <xf numFmtId="3" fontId="109" fillId="0" borderId="89" xfId="99" applyNumberFormat="1" applyFont="1" applyBorder="1" applyAlignment="1">
      <alignment horizontal="center"/>
    </xf>
    <xf numFmtId="0" fontId="110" fillId="0" borderId="57" xfId="100" applyFont="1" applyBorder="1"/>
    <xf numFmtId="3" fontId="110" fillId="0" borderId="115" xfId="99" applyNumberFormat="1" applyFont="1" applyBorder="1"/>
    <xf numFmtId="0" fontId="109" fillId="0" borderId="20" xfId="99" applyFont="1" applyBorder="1"/>
    <xf numFmtId="3" fontId="109" fillId="0" borderId="77" xfId="99" applyNumberFormat="1" applyFont="1" applyBorder="1"/>
    <xf numFmtId="3" fontId="109" fillId="0" borderId="77" xfId="99" applyNumberFormat="1" applyFont="1" applyBorder="1" applyAlignment="1">
      <alignment horizontal="center"/>
    </xf>
    <xf numFmtId="3" fontId="112" fillId="0" borderId="77" xfId="99" applyNumberFormat="1" applyFont="1" applyBorder="1"/>
    <xf numFmtId="3" fontId="109" fillId="0" borderId="139" xfId="99" applyNumberFormat="1" applyFont="1" applyBorder="1" applyAlignment="1">
      <alignment horizontal="center"/>
    </xf>
    <xf numFmtId="0" fontId="110" fillId="0" borderId="23" xfId="100" applyFont="1" applyBorder="1"/>
    <xf numFmtId="3" fontId="111" fillId="0" borderId="83" xfId="99" applyNumberFormat="1" applyFont="1" applyBorder="1"/>
    <xf numFmtId="3" fontId="109" fillId="0" borderId="115" xfId="99" applyNumberFormat="1" applyFont="1" applyBorder="1" applyAlignment="1">
      <alignment horizontal="center"/>
    </xf>
    <xf numFmtId="0" fontId="110" fillId="0" borderId="18" xfId="100" applyFont="1" applyBorder="1"/>
    <xf numFmtId="0" fontId="109" fillId="0" borderId="20" xfId="99" applyFont="1" applyBorder="1" applyAlignment="1">
      <alignment horizontal="justify"/>
    </xf>
    <xf numFmtId="0" fontId="109" fillId="0" borderId="18" xfId="99" applyFont="1" applyBorder="1" applyAlignment="1">
      <alignment horizontal="justify"/>
    </xf>
    <xf numFmtId="3" fontId="111" fillId="0" borderId="86" xfId="99" applyNumberFormat="1" applyFont="1" applyBorder="1"/>
    <xf numFmtId="0" fontId="109" fillId="0" borderId="23" xfId="99" applyFont="1" applyBorder="1" applyAlignment="1">
      <alignment horizontal="justify"/>
    </xf>
    <xf numFmtId="0" fontId="110" fillId="0" borderId="0" xfId="0" applyFont="1"/>
    <xf numFmtId="0" fontId="109" fillId="0" borderId="0" xfId="99" applyFont="1"/>
    <xf numFmtId="0" fontId="109" fillId="0" borderId="0" xfId="99" applyFont="1" applyAlignment="1">
      <alignment horizontal="right"/>
    </xf>
    <xf numFmtId="0" fontId="109" fillId="0" borderId="18" xfId="99" applyFont="1" applyBorder="1" applyAlignment="1">
      <alignment horizontal="center"/>
    </xf>
    <xf numFmtId="0" fontId="110" fillId="0" borderId="83" xfId="99" applyFont="1" applyBorder="1" applyAlignment="1">
      <alignment horizontal="center"/>
    </xf>
    <xf numFmtId="0" fontId="110" fillId="0" borderId="53" xfId="99" applyFont="1" applyBorder="1" applyAlignment="1">
      <alignment horizontal="center"/>
    </xf>
    <xf numFmtId="0" fontId="110" fillId="0" borderId="69" xfId="99" applyFont="1" applyBorder="1" applyAlignment="1">
      <alignment horizontal="center"/>
    </xf>
    <xf numFmtId="0" fontId="110" fillId="0" borderId="86" xfId="99" applyFont="1" applyBorder="1" applyAlignment="1">
      <alignment horizontal="center"/>
    </xf>
    <xf numFmtId="3" fontId="109" fillId="0" borderId="83" xfId="99" applyNumberFormat="1" applyFont="1" applyBorder="1" applyAlignment="1">
      <alignment horizontal="center"/>
    </xf>
    <xf numFmtId="0" fontId="72" fillId="27" borderId="45" xfId="0" applyFont="1" applyFill="1" applyBorder="1" applyAlignment="1">
      <alignment horizontal="center"/>
    </xf>
    <xf numFmtId="0" fontId="72" fillId="27" borderId="83" xfId="0" applyFont="1" applyFill="1" applyBorder="1" applyAlignment="1">
      <alignment horizontal="center"/>
    </xf>
    <xf numFmtId="0" fontId="72" fillId="0" borderId="44" xfId="0" applyFont="1" applyBorder="1" applyAlignment="1">
      <alignment horizontal="center"/>
    </xf>
    <xf numFmtId="0" fontId="72" fillId="27" borderId="70" xfId="0" applyFont="1" applyFill="1" applyBorder="1" applyAlignment="1">
      <alignment horizontal="center"/>
    </xf>
    <xf numFmtId="0" fontId="72" fillId="0" borderId="53" xfId="0" applyFont="1" applyBorder="1" applyAlignment="1">
      <alignment horizontal="center"/>
    </xf>
    <xf numFmtId="0" fontId="72" fillId="0" borderId="55" xfId="0" applyFont="1" applyBorder="1" applyAlignment="1">
      <alignment horizontal="center"/>
    </xf>
    <xf numFmtId="0" fontId="82" fillId="27" borderId="27" xfId="0" applyFont="1" applyFill="1" applyBorder="1" applyAlignment="1">
      <alignment horizontal="center"/>
    </xf>
    <xf numFmtId="0" fontId="82" fillId="0" borderId="59" xfId="0" applyFont="1" applyBorder="1" applyAlignment="1">
      <alignment horizontal="center"/>
    </xf>
    <xf numFmtId="4" fontId="81" fillId="0" borderId="68" xfId="77" applyNumberFormat="1" applyFont="1" applyBorder="1" applyAlignment="1">
      <alignment horizontal="right"/>
    </xf>
    <xf numFmtId="4" fontId="84" fillId="0" borderId="58" xfId="77" applyNumberFormat="1" applyFont="1" applyBorder="1" applyAlignment="1">
      <alignment horizontal="right"/>
    </xf>
    <xf numFmtId="4" fontId="84" fillId="0" borderId="114" xfId="77" applyNumberFormat="1" applyFont="1" applyBorder="1" applyAlignment="1">
      <alignment horizontal="right"/>
    </xf>
    <xf numFmtId="4" fontId="84" fillId="0" borderId="109" xfId="77" applyNumberFormat="1" applyFont="1" applyBorder="1" applyAlignment="1">
      <alignment horizontal="right"/>
    </xf>
    <xf numFmtId="4" fontId="81" fillId="0" borderId="67" xfId="77" applyNumberFormat="1" applyFont="1" applyBorder="1" applyAlignment="1">
      <alignment horizontal="right"/>
    </xf>
    <xf numFmtId="4" fontId="81" fillId="29" borderId="68" xfId="77" applyNumberFormat="1" applyFont="1" applyFill="1" applyBorder="1" applyAlignment="1">
      <alignment horizontal="right"/>
    </xf>
    <xf numFmtId="4" fontId="81" fillId="29" borderId="71" xfId="77" applyNumberFormat="1" applyFont="1" applyFill="1" applyBorder="1" applyAlignment="1">
      <alignment horizontal="right"/>
    </xf>
    <xf numFmtId="4" fontId="81" fillId="0" borderId="71" xfId="77" applyNumberFormat="1" applyFont="1" applyBorder="1" applyAlignment="1">
      <alignment horizontal="right"/>
    </xf>
    <xf numFmtId="4" fontId="82" fillId="0" borderId="58" xfId="77" applyNumberFormat="1" applyFont="1" applyBorder="1"/>
    <xf numFmtId="2" fontId="81" fillId="0" borderId="68" xfId="77" applyNumberFormat="1" applyFont="1" applyBorder="1"/>
    <xf numFmtId="4" fontId="82" fillId="0" borderId="60" xfId="0" applyNumberFormat="1" applyFont="1" applyBorder="1" applyAlignment="1">
      <alignment horizontal="right"/>
    </xf>
    <xf numFmtId="3" fontId="82" fillId="0" borderId="59" xfId="77" applyNumberFormat="1" applyFont="1" applyBorder="1"/>
    <xf numFmtId="3" fontId="82" fillId="0" borderId="68" xfId="77" applyNumberFormat="1" applyFont="1" applyBorder="1"/>
    <xf numFmtId="2" fontId="81" fillId="0" borderId="59" xfId="77" applyNumberFormat="1" applyFont="1" applyBorder="1"/>
    <xf numFmtId="4" fontId="82" fillId="0" borderId="58" xfId="0" applyNumberFormat="1" applyFont="1" applyBorder="1" applyAlignment="1">
      <alignment horizontal="right"/>
    </xf>
    <xf numFmtId="2" fontId="81" fillId="0" borderId="67" xfId="77" applyNumberFormat="1" applyFont="1" applyBorder="1"/>
    <xf numFmtId="4" fontId="82" fillId="0" borderId="28" xfId="0" applyNumberFormat="1" applyFont="1" applyBorder="1" applyAlignment="1">
      <alignment horizontal="right"/>
    </xf>
    <xf numFmtId="3" fontId="81" fillId="0" borderId="37" xfId="77" applyNumberFormat="1" applyFont="1" applyBorder="1" applyAlignment="1">
      <alignment horizontal="right"/>
    </xf>
    <xf numFmtId="3" fontId="81" fillId="0" borderId="0" xfId="77" applyNumberFormat="1" applyFont="1" applyAlignment="1">
      <alignment horizontal="right"/>
    </xf>
    <xf numFmtId="3" fontId="85" fillId="0" borderId="37" xfId="77" applyNumberFormat="1" applyFont="1" applyBorder="1" applyAlignment="1">
      <alignment horizontal="right"/>
    </xf>
    <xf numFmtId="3" fontId="84" fillId="0" borderId="112" xfId="0" applyNumberFormat="1" applyFont="1" applyBorder="1" applyAlignment="1">
      <alignment horizontal="right"/>
    </xf>
    <xf numFmtId="3" fontId="82" fillId="0" borderId="95" xfId="0" applyNumberFormat="1" applyFont="1" applyBorder="1" applyAlignment="1">
      <alignment horizontal="right"/>
    </xf>
    <xf numFmtId="3" fontId="85" fillId="0" borderId="50" xfId="0" applyNumberFormat="1" applyFont="1" applyBorder="1" applyAlignment="1">
      <alignment horizontal="right"/>
    </xf>
    <xf numFmtId="3" fontId="81" fillId="0" borderId="50" xfId="0" applyNumberFormat="1" applyFont="1" applyBorder="1" applyAlignment="1">
      <alignment horizontal="right"/>
    </xf>
    <xf numFmtId="3" fontId="85" fillId="29" borderId="37" xfId="77" applyNumberFormat="1" applyFont="1" applyFill="1" applyBorder="1" applyAlignment="1">
      <alignment horizontal="right"/>
    </xf>
    <xf numFmtId="3" fontId="81" fillId="29" borderId="37" xfId="77" applyNumberFormat="1" applyFont="1" applyFill="1" applyBorder="1" applyAlignment="1">
      <alignment horizontal="right"/>
    </xf>
    <xf numFmtId="3" fontId="82" fillId="0" borderId="91" xfId="77" applyNumberFormat="1" applyFont="1" applyBorder="1" applyAlignment="1">
      <alignment horizontal="right"/>
    </xf>
    <xf numFmtId="3" fontId="82" fillId="0" borderId="24" xfId="77" applyNumberFormat="1" applyFont="1" applyBorder="1"/>
    <xf numFmtId="3" fontId="81" fillId="0" borderId="37" xfId="77" applyNumberFormat="1" applyFont="1" applyBorder="1"/>
    <xf numFmtId="3" fontId="81" fillId="0" borderId="0" xfId="77" applyNumberFormat="1" applyFont="1"/>
    <xf numFmtId="3" fontId="82" fillId="0" borderId="93" xfId="0" applyNumberFormat="1" applyFont="1" applyBorder="1" applyAlignment="1">
      <alignment horizontal="right"/>
    </xf>
    <xf numFmtId="3" fontId="82" fillId="0" borderId="0" xfId="77" applyNumberFormat="1" applyFont="1"/>
    <xf numFmtId="3" fontId="82" fillId="0" borderId="37" xfId="77" applyNumberFormat="1" applyFont="1" applyBorder="1"/>
    <xf numFmtId="3" fontId="81" fillId="0" borderId="50" xfId="77" applyNumberFormat="1" applyFont="1" applyBorder="1"/>
    <xf numFmtId="3" fontId="81" fillId="0" borderId="50" xfId="77" applyNumberFormat="1" applyFont="1" applyBorder="1" applyAlignment="1">
      <alignment horizontal="right"/>
    </xf>
    <xf numFmtId="3" fontId="82" fillId="0" borderId="22" xfId="77" applyNumberFormat="1" applyFont="1" applyBorder="1"/>
    <xf numFmtId="3" fontId="84" fillId="0" borderId="32" xfId="0" applyNumberFormat="1" applyFont="1" applyBorder="1" applyAlignment="1">
      <alignment horizontal="right"/>
    </xf>
    <xf numFmtId="3" fontId="84" fillId="0" borderId="113" xfId="0" applyNumberFormat="1" applyFont="1" applyBorder="1" applyAlignment="1">
      <alignment horizontal="right"/>
    </xf>
    <xf numFmtId="3" fontId="82" fillId="0" borderId="64" xfId="0" applyNumberFormat="1" applyFont="1" applyBorder="1" applyAlignment="1">
      <alignment horizontal="right"/>
    </xf>
    <xf numFmtId="3" fontId="81" fillId="0" borderId="51" xfId="0" applyNumberFormat="1" applyFont="1" applyBorder="1" applyAlignment="1">
      <alignment horizontal="right"/>
    </xf>
    <xf numFmtId="3" fontId="82" fillId="0" borderId="101" xfId="77" applyNumberFormat="1" applyFont="1" applyBorder="1" applyAlignment="1">
      <alignment horizontal="right"/>
    </xf>
    <xf numFmtId="3" fontId="82" fillId="0" borderId="36" xfId="77" applyNumberFormat="1" applyFont="1" applyBorder="1"/>
    <xf numFmtId="3" fontId="84" fillId="0" borderId="51" xfId="0" applyNumberFormat="1" applyFont="1" applyBorder="1" applyAlignment="1">
      <alignment horizontal="right"/>
    </xf>
    <xf numFmtId="4" fontId="82" fillId="0" borderId="109" xfId="77" applyNumberFormat="1" applyFont="1" applyBorder="1" applyAlignment="1">
      <alignment horizontal="right"/>
    </xf>
    <xf numFmtId="2" fontId="81" fillId="29" borderId="67" xfId="77" applyNumberFormat="1" applyFont="1" applyFill="1" applyBorder="1"/>
    <xf numFmtId="2" fontId="81" fillId="29" borderId="68" xfId="77" applyNumberFormat="1" applyFont="1" applyFill="1" applyBorder="1"/>
    <xf numFmtId="2" fontId="82" fillId="0" borderId="58" xfId="77" applyNumberFormat="1" applyFont="1" applyBorder="1"/>
    <xf numFmtId="2" fontId="82" fillId="0" borderId="114" xfId="77" applyNumberFormat="1" applyFont="1" applyBorder="1"/>
    <xf numFmtId="2" fontId="81" fillId="0" borderId="56" xfId="77" applyNumberFormat="1" applyFont="1" applyBorder="1"/>
    <xf numFmtId="2" fontId="81" fillId="0" borderId="137" xfId="77" applyNumberFormat="1" applyFont="1" applyBorder="1"/>
    <xf numFmtId="2" fontId="81" fillId="0" borderId="71" xfId="77" applyNumberFormat="1" applyFont="1" applyBorder="1"/>
    <xf numFmtId="2" fontId="82" fillId="0" borderId="28" xfId="77" applyNumberFormat="1" applyFont="1" applyBorder="1"/>
    <xf numFmtId="4" fontId="84" fillId="0" borderId="124" xfId="0" applyNumberFormat="1" applyFont="1" applyBorder="1"/>
    <xf numFmtId="0" fontId="110" fillId="0" borderId="23" xfId="92" applyFont="1" applyBorder="1"/>
    <xf numFmtId="0" fontId="110" fillId="0" borderId="46" xfId="92" applyFont="1" applyBorder="1" applyAlignment="1">
      <alignment horizontal="centerContinuous"/>
    </xf>
    <xf numFmtId="0" fontId="110" fillId="0" borderId="47" xfId="0" applyFont="1" applyBorder="1"/>
    <xf numFmtId="0" fontId="110" fillId="0" borderId="53" xfId="0" applyFont="1" applyBorder="1"/>
    <xf numFmtId="0" fontId="110" fillId="0" borderId="19" xfId="92" applyFont="1" applyBorder="1"/>
    <xf numFmtId="0" fontId="110" fillId="0" borderId="16" xfId="92" applyFont="1" applyBorder="1"/>
    <xf numFmtId="3" fontId="109" fillId="0" borderId="61" xfId="92" applyNumberFormat="1" applyFont="1" applyBorder="1" applyAlignment="1">
      <alignment horizontal="center"/>
    </xf>
    <xf numFmtId="3" fontId="109" fillId="0" borderId="28" xfId="92" applyNumberFormat="1" applyFont="1" applyBorder="1" applyAlignment="1">
      <alignment horizontal="center"/>
    </xf>
    <xf numFmtId="0" fontId="110" fillId="0" borderId="26" xfId="92" applyFont="1" applyBorder="1"/>
    <xf numFmtId="0" fontId="110" fillId="0" borderId="91" xfId="92" applyFont="1" applyBorder="1"/>
    <xf numFmtId="0" fontId="110" fillId="0" borderId="24" xfId="92" applyFont="1" applyBorder="1"/>
    <xf numFmtId="3" fontId="110" fillId="0" borderId="32" xfId="92" applyNumberFormat="1" applyFont="1" applyBorder="1"/>
    <xf numFmtId="4" fontId="110" fillId="0" borderId="58" xfId="92" applyNumberFormat="1" applyFont="1" applyBorder="1"/>
    <xf numFmtId="0" fontId="109" fillId="0" borderId="19" xfId="92" applyFont="1" applyBorder="1"/>
    <xf numFmtId="0" fontId="109" fillId="0" borderId="16" xfId="92" applyFont="1" applyBorder="1"/>
    <xf numFmtId="3" fontId="109" fillId="0" borderId="61" xfId="92" applyNumberFormat="1" applyFont="1" applyBorder="1"/>
    <xf numFmtId="4" fontId="109" fillId="0" borderId="28" xfId="92" applyNumberFormat="1" applyFont="1" applyBorder="1"/>
    <xf numFmtId="0" fontId="109" fillId="0" borderId="22" xfId="92" applyFont="1" applyBorder="1"/>
    <xf numFmtId="3" fontId="109" fillId="0" borderId="43" xfId="92" applyNumberFormat="1" applyFont="1" applyBorder="1"/>
    <xf numFmtId="0" fontId="110" fillId="0" borderId="18" xfId="92" applyFont="1" applyBorder="1"/>
    <xf numFmtId="3" fontId="111" fillId="0" borderId="32" xfId="92" applyNumberFormat="1" applyFont="1" applyBorder="1"/>
    <xf numFmtId="4" fontId="110" fillId="0" borderId="137" xfId="92" applyNumberFormat="1" applyFont="1" applyBorder="1"/>
    <xf numFmtId="2" fontId="82" fillId="0" borderId="56" xfId="77" applyNumberFormat="1" applyFont="1" applyBorder="1"/>
    <xf numFmtId="0" fontId="75" fillId="0" borderId="92" xfId="77" applyFont="1" applyBorder="1"/>
    <xf numFmtId="3" fontId="82" fillId="0" borderId="52" xfId="77" applyNumberFormat="1" applyFont="1" applyBorder="1" applyAlignment="1">
      <alignment horizontal="right"/>
    </xf>
    <xf numFmtId="0" fontId="80" fillId="0" borderId="126" xfId="0" applyFont="1" applyBorder="1"/>
    <xf numFmtId="3" fontId="81" fillId="0" borderId="126" xfId="77" applyNumberFormat="1" applyFont="1" applyBorder="1"/>
    <xf numFmtId="0" fontId="72" fillId="0" borderId="46" xfId="77" applyFont="1" applyBorder="1"/>
    <xf numFmtId="3" fontId="81" fillId="0" borderId="45" xfId="77" applyNumberFormat="1" applyFont="1" applyBorder="1" applyAlignment="1">
      <alignment horizontal="center"/>
    </xf>
    <xf numFmtId="3" fontId="81" fillId="0" borderId="45" xfId="77" applyNumberFormat="1" applyFont="1" applyBorder="1"/>
    <xf numFmtId="2" fontId="81" fillId="0" borderId="27" xfId="77" applyNumberFormat="1" applyFont="1" applyBorder="1"/>
    <xf numFmtId="3" fontId="81" fillId="0" borderId="51" xfId="77" applyNumberFormat="1" applyFont="1" applyBorder="1" applyAlignment="1">
      <alignment horizontal="center"/>
    </xf>
    <xf numFmtId="3" fontId="81" fillId="29" borderId="51" xfId="77" applyNumberFormat="1" applyFont="1" applyFill="1" applyBorder="1"/>
    <xf numFmtId="3" fontId="110" fillId="0" borderId="78" xfId="99" applyNumberFormat="1" applyFont="1" applyBorder="1"/>
    <xf numFmtId="3" fontId="114" fillId="0" borderId="0" xfId="76" applyNumberFormat="1" applyFont="1"/>
    <xf numFmtId="3" fontId="116" fillId="0" borderId="0" xfId="76" applyNumberFormat="1" applyFont="1"/>
    <xf numFmtId="3" fontId="118" fillId="0" borderId="0" xfId="76" applyNumberFormat="1" applyFont="1"/>
    <xf numFmtId="3" fontId="119" fillId="0" borderId="0" xfId="76" applyNumberFormat="1" applyFont="1" applyAlignment="1">
      <alignment horizontal="center"/>
    </xf>
    <xf numFmtId="3" fontId="120" fillId="0" borderId="0" xfId="76" applyNumberFormat="1" applyFont="1" applyAlignment="1">
      <alignment horizontal="center"/>
    </xf>
    <xf numFmtId="3" fontId="115" fillId="0" borderId="19" xfId="76" applyNumberFormat="1" applyFont="1" applyBorder="1" applyAlignment="1">
      <alignment horizontal="center" vertical="center"/>
    </xf>
    <xf numFmtId="3" fontId="119" fillId="0" borderId="0" xfId="76" applyNumberFormat="1" applyFont="1" applyAlignment="1">
      <alignment horizontal="justify"/>
    </xf>
    <xf numFmtId="3" fontId="120" fillId="0" borderId="0" xfId="76" applyNumberFormat="1" applyFont="1" applyAlignment="1">
      <alignment horizontal="justify"/>
    </xf>
    <xf numFmtId="3" fontId="115" fillId="0" borderId="83" xfId="76" applyNumberFormat="1" applyFont="1" applyBorder="1" applyAlignment="1">
      <alignment horizontal="center" vertical="center"/>
    </xf>
    <xf numFmtId="3" fontId="115" fillId="0" borderId="83" xfId="76" applyNumberFormat="1" applyFont="1" applyBorder="1" applyAlignment="1">
      <alignment horizontal="right"/>
    </xf>
    <xf numFmtId="3" fontId="119" fillId="0" borderId="0" xfId="76" applyNumberFormat="1" applyFont="1"/>
    <xf numFmtId="3" fontId="120" fillId="0" borderId="0" xfId="76" applyNumberFormat="1" applyFont="1"/>
    <xf numFmtId="3" fontId="114" fillId="0" borderId="0" xfId="76" applyNumberFormat="1" applyFont="1" applyAlignment="1">
      <alignment horizontal="justify"/>
    </xf>
    <xf numFmtId="3" fontId="116" fillId="0" borderId="0" xfId="76" applyNumberFormat="1" applyFont="1" applyAlignment="1">
      <alignment horizontal="justify"/>
    </xf>
    <xf numFmtId="3" fontId="121" fillId="0" borderId="0" xfId="76" applyNumberFormat="1" applyFont="1"/>
    <xf numFmtId="3" fontId="122" fillId="0" borderId="0" xfId="76" applyNumberFormat="1" applyFont="1"/>
    <xf numFmtId="3" fontId="115" fillId="0" borderId="0" xfId="76" applyNumberFormat="1" applyFont="1" applyAlignment="1">
      <alignment horizontal="center"/>
    </xf>
    <xf numFmtId="3" fontId="123" fillId="0" borderId="0" xfId="76" applyNumberFormat="1" applyFont="1" applyAlignment="1">
      <alignment horizontal="center"/>
    </xf>
    <xf numFmtId="3" fontId="124" fillId="0" borderId="0" xfId="76" applyNumberFormat="1" applyFont="1"/>
    <xf numFmtId="3" fontId="125" fillId="0" borderId="0" xfId="76" applyNumberFormat="1" applyFont="1" applyAlignment="1">
      <alignment horizontal="right"/>
    </xf>
    <xf numFmtId="3" fontId="126" fillId="0" borderId="0" xfId="76" applyNumberFormat="1" applyFont="1" applyAlignment="1">
      <alignment horizontal="left"/>
    </xf>
    <xf numFmtId="3" fontId="125" fillId="0" borderId="0" xfId="76" applyNumberFormat="1" applyFont="1"/>
    <xf numFmtId="3" fontId="10" fillId="0" borderId="0" xfId="76" applyNumberFormat="1" applyFont="1"/>
    <xf numFmtId="3" fontId="127" fillId="0" borderId="0" xfId="76" applyNumberFormat="1" applyFont="1"/>
    <xf numFmtId="3" fontId="128" fillId="0" borderId="0" xfId="76" applyNumberFormat="1" applyFont="1"/>
    <xf numFmtId="3" fontId="115" fillId="0" borderId="0" xfId="76" applyNumberFormat="1" applyFont="1" applyAlignment="1">
      <alignment horizontal="justify"/>
    </xf>
    <xf numFmtId="3" fontId="123" fillId="0" borderId="0" xfId="76" applyNumberFormat="1" applyFont="1" applyAlignment="1">
      <alignment horizontal="justify"/>
    </xf>
    <xf numFmtId="3" fontId="130" fillId="0" borderId="0" xfId="76" applyNumberFormat="1" applyFont="1"/>
    <xf numFmtId="3" fontId="17" fillId="0" borderId="0" xfId="76" applyNumberFormat="1" applyFont="1"/>
    <xf numFmtId="0" fontId="124" fillId="0" borderId="0" xfId="76" applyFont="1" applyAlignment="1">
      <alignment horizontal="left"/>
    </xf>
    <xf numFmtId="3" fontId="131" fillId="0" borderId="0" xfId="76" applyNumberFormat="1" applyFont="1" applyAlignment="1">
      <alignment horizontal="right"/>
    </xf>
    <xf numFmtId="3" fontId="132" fillId="0" borderId="0" xfId="76" applyNumberFormat="1" applyFont="1" applyAlignment="1">
      <alignment horizontal="right"/>
    </xf>
    <xf numFmtId="0" fontId="126" fillId="0" borderId="0" xfId="76" applyFont="1" applyAlignment="1">
      <alignment horizontal="left"/>
    </xf>
    <xf numFmtId="0" fontId="133" fillId="0" borderId="0" xfId="76" applyFont="1" applyAlignment="1">
      <alignment horizontal="right"/>
    </xf>
    <xf numFmtId="3" fontId="131" fillId="0" borderId="0" xfId="76" applyNumberFormat="1" applyFont="1"/>
    <xf numFmtId="3" fontId="11" fillId="0" borderId="0" xfId="76" applyNumberFormat="1" applyFont="1"/>
    <xf numFmtId="0" fontId="134" fillId="0" borderId="0" xfId="76" applyFont="1"/>
    <xf numFmtId="3" fontId="134" fillId="0" borderId="0" xfId="76" applyNumberFormat="1" applyFont="1" applyAlignment="1">
      <alignment horizontal="right"/>
    </xf>
    <xf numFmtId="0" fontId="134" fillId="0" borderId="0" xfId="76" applyFont="1" applyAlignment="1">
      <alignment horizontal="left"/>
    </xf>
    <xf numFmtId="3" fontId="134" fillId="0" borderId="0" xfId="76" applyNumberFormat="1" applyFont="1"/>
    <xf numFmtId="3" fontId="134" fillId="0" borderId="77" xfId="76" applyNumberFormat="1" applyFont="1" applyBorder="1"/>
    <xf numFmtId="3" fontId="135" fillId="0" borderId="0" xfId="76" applyNumberFormat="1" applyFont="1"/>
    <xf numFmtId="0" fontId="136" fillId="0" borderId="0" xfId="76" applyFont="1"/>
    <xf numFmtId="0" fontId="137" fillId="0" borderId="0" xfId="76" applyFont="1" applyAlignment="1">
      <alignment horizontal="left"/>
    </xf>
    <xf numFmtId="3" fontId="57" fillId="0" borderId="0" xfId="76" applyNumberFormat="1" applyFont="1"/>
    <xf numFmtId="3" fontId="10" fillId="0" borderId="0" xfId="76" applyNumberFormat="1" applyFont="1" applyAlignment="1">
      <alignment horizontal="right"/>
    </xf>
    <xf numFmtId="3" fontId="138" fillId="0" borderId="0" xfId="76" applyNumberFormat="1" applyFont="1" applyAlignment="1">
      <alignment horizontal="left"/>
    </xf>
    <xf numFmtId="3" fontId="63" fillId="0" borderId="0" xfId="76" applyNumberFormat="1" applyFont="1"/>
    <xf numFmtId="0" fontId="140" fillId="0" borderId="0" xfId="102" applyFont="1"/>
    <xf numFmtId="0" fontId="141" fillId="0" borderId="0" xfId="103" applyFont="1"/>
    <xf numFmtId="0" fontId="139" fillId="0" borderId="0" xfId="102" applyFont="1"/>
    <xf numFmtId="0" fontId="136" fillId="0" borderId="0" xfId="102" applyFont="1" applyAlignment="1">
      <alignment horizontal="center"/>
    </xf>
    <xf numFmtId="0" fontId="16" fillId="0" borderId="0" xfId="102" applyFont="1"/>
    <xf numFmtId="0" fontId="92" fillId="0" borderId="0" xfId="103"/>
    <xf numFmtId="0" fontId="139" fillId="0" borderId="83" xfId="102" applyFont="1" applyBorder="1"/>
    <xf numFmtId="0" fontId="142" fillId="0" borderId="0" xfId="103" applyFont="1"/>
    <xf numFmtId="3" fontId="139" fillId="0" borderId="69" xfId="104" applyNumberFormat="1" applyFont="1" applyBorder="1" applyAlignment="1">
      <alignment horizontal="center"/>
    </xf>
    <xf numFmtId="4" fontId="139" fillId="0" borderId="86" xfId="102" applyNumberFormat="1" applyFont="1" applyBorder="1" applyAlignment="1">
      <alignment horizontal="center"/>
    </xf>
    <xf numFmtId="3" fontId="139" fillId="0" borderId="70" xfId="104" applyNumberFormat="1" applyFont="1" applyBorder="1" applyAlignment="1">
      <alignment horizontal="left"/>
    </xf>
    <xf numFmtId="4" fontId="139" fillId="0" borderId="70" xfId="102" applyNumberFormat="1" applyFont="1" applyBorder="1" applyAlignment="1">
      <alignment horizontal="center"/>
    </xf>
    <xf numFmtId="3" fontId="139" fillId="0" borderId="70" xfId="102" applyNumberFormat="1" applyFont="1" applyBorder="1" applyAlignment="1">
      <alignment horizontal="center"/>
    </xf>
    <xf numFmtId="4" fontId="143" fillId="0" borderId="69" xfId="102" applyNumberFormat="1" applyFont="1" applyBorder="1" applyAlignment="1">
      <alignment horizontal="center"/>
    </xf>
    <xf numFmtId="4" fontId="124" fillId="0" borderId="83" xfId="102" applyNumberFormat="1" applyFont="1" applyBorder="1" applyAlignment="1">
      <alignment horizontal="justify"/>
    </xf>
    <xf numFmtId="4" fontId="124" fillId="0" borderId="53" xfId="102" applyNumberFormat="1" applyFont="1" applyBorder="1" applyAlignment="1">
      <alignment horizontal="justify"/>
    </xf>
    <xf numFmtId="0" fontId="57" fillId="0" borderId="0" xfId="102" applyFont="1" applyAlignment="1">
      <alignment horizontal="justify"/>
    </xf>
    <xf numFmtId="0" fontId="92" fillId="0" borderId="0" xfId="103" applyAlignment="1">
      <alignment horizontal="justify"/>
    </xf>
    <xf numFmtId="3" fontId="144" fillId="0" borderId="115" xfId="0" applyNumberFormat="1" applyFont="1" applyBorder="1" applyAlignment="1">
      <alignment horizontal="left"/>
    </xf>
    <xf numFmtId="4" fontId="145" fillId="0" borderId="69" xfId="102" applyNumberFormat="1" applyFont="1" applyBorder="1"/>
    <xf numFmtId="3" fontId="145" fillId="0" borderId="86" xfId="102" applyNumberFormat="1" applyFont="1" applyBorder="1"/>
    <xf numFmtId="4" fontId="145" fillId="0" borderId="86" xfId="102" applyNumberFormat="1" applyFont="1" applyBorder="1"/>
    <xf numFmtId="4" fontId="129" fillId="0" borderId="86" xfId="102" applyNumberFormat="1" applyFont="1" applyBorder="1"/>
    <xf numFmtId="3" fontId="129" fillId="0" borderId="86" xfId="102" applyNumberFormat="1" applyFont="1" applyBorder="1"/>
    <xf numFmtId="0" fontId="57" fillId="0" borderId="0" xfId="102" applyFont="1"/>
    <xf numFmtId="3" fontId="144" fillId="0" borderId="78" xfId="0" applyNumberFormat="1" applyFont="1" applyBorder="1" applyAlignment="1">
      <alignment horizontal="left"/>
    </xf>
    <xf numFmtId="4" fontId="145" fillId="0" borderId="78" xfId="102" applyNumberFormat="1" applyFont="1" applyBorder="1"/>
    <xf numFmtId="3" fontId="145" fillId="0" borderId="88" xfId="102" applyNumberFormat="1" applyFont="1" applyBorder="1"/>
    <xf numFmtId="4" fontId="129" fillId="0" borderId="78" xfId="102" applyNumberFormat="1" applyFont="1" applyBorder="1"/>
    <xf numFmtId="3" fontId="129" fillId="0" borderId="88" xfId="102" applyNumberFormat="1" applyFont="1" applyBorder="1"/>
    <xf numFmtId="3" fontId="144" fillId="0" borderId="69" xfId="0" applyNumberFormat="1" applyFont="1" applyBorder="1" applyAlignment="1">
      <alignment horizontal="left"/>
    </xf>
    <xf numFmtId="4" fontId="139" fillId="0" borderId="77" xfId="102" applyNumberFormat="1" applyFont="1" applyBorder="1"/>
    <xf numFmtId="4" fontId="129" fillId="0" borderId="77" xfId="102" applyNumberFormat="1" applyFont="1" applyBorder="1"/>
    <xf numFmtId="3" fontId="129" fillId="0" borderId="77" xfId="102" applyNumberFormat="1" applyFont="1" applyBorder="1"/>
    <xf numFmtId="4" fontId="144" fillId="0" borderId="77" xfId="102" applyNumberFormat="1" applyFont="1" applyBorder="1"/>
    <xf numFmtId="3" fontId="129" fillId="0" borderId="81" xfId="102" applyNumberFormat="1" applyFont="1" applyBorder="1"/>
    <xf numFmtId="4" fontId="143" fillId="0" borderId="83" xfId="102" applyNumberFormat="1" applyFont="1" applyBorder="1" applyAlignment="1">
      <alignment horizontal="center"/>
    </xf>
    <xf numFmtId="3" fontId="144" fillId="0" borderId="75" xfId="0" applyNumberFormat="1" applyFont="1" applyBorder="1" applyAlignment="1">
      <alignment horizontal="left" wrapText="1"/>
    </xf>
    <xf numFmtId="4" fontId="145" fillId="0" borderId="88" xfId="102" applyNumberFormat="1" applyFont="1" applyBorder="1"/>
    <xf numFmtId="3" fontId="144" fillId="0" borderId="76" xfId="0" applyNumberFormat="1" applyFont="1" applyBorder="1" applyAlignment="1">
      <alignment horizontal="left"/>
    </xf>
    <xf numFmtId="4" fontId="129" fillId="0" borderId="81" xfId="102" applyNumberFormat="1" applyFont="1" applyBorder="1"/>
    <xf numFmtId="4" fontId="129" fillId="0" borderId="53" xfId="102" applyNumberFormat="1" applyFont="1" applyBorder="1"/>
    <xf numFmtId="4" fontId="145" fillId="0" borderId="53" xfId="102" applyNumberFormat="1" applyFont="1" applyBorder="1"/>
    <xf numFmtId="3" fontId="144" fillId="0" borderId="75" xfId="0" applyNumberFormat="1" applyFont="1" applyBorder="1" applyAlignment="1">
      <alignment horizontal="left"/>
    </xf>
    <xf numFmtId="4" fontId="145" fillId="0" borderId="115" xfId="102" applyNumberFormat="1" applyFont="1" applyBorder="1"/>
    <xf numFmtId="3" fontId="145" fillId="0" borderId="100" xfId="102" applyNumberFormat="1" applyFont="1" applyBorder="1"/>
    <xf numFmtId="4" fontId="129" fillId="0" borderId="100" xfId="102" applyNumberFormat="1" applyFont="1" applyBorder="1"/>
    <xf numFmtId="3" fontId="129" fillId="0" borderId="100" xfId="102" applyNumberFormat="1" applyFont="1" applyBorder="1"/>
    <xf numFmtId="0" fontId="144" fillId="0" borderId="78" xfId="0" applyFont="1" applyBorder="1" applyAlignment="1">
      <alignment horizontal="left"/>
    </xf>
    <xf numFmtId="4" fontId="145" fillId="0" borderId="76" xfId="102" applyNumberFormat="1" applyFont="1" applyBorder="1"/>
    <xf numFmtId="3" fontId="145" fillId="0" borderId="80" xfId="102" applyNumberFormat="1" applyFont="1" applyBorder="1"/>
    <xf numFmtId="4" fontId="145" fillId="0" borderId="80" xfId="102" applyNumberFormat="1" applyFont="1" applyBorder="1"/>
    <xf numFmtId="4" fontId="129" fillId="0" borderId="80" xfId="102" applyNumberFormat="1" applyFont="1" applyBorder="1"/>
    <xf numFmtId="3" fontId="129" fillId="0" borderId="80" xfId="102" applyNumberFormat="1" applyFont="1" applyBorder="1"/>
    <xf numFmtId="4" fontId="129" fillId="0" borderId="84" xfId="102" applyNumberFormat="1" applyFont="1" applyBorder="1"/>
    <xf numFmtId="3" fontId="129" fillId="0" borderId="84" xfId="102" applyNumberFormat="1" applyFont="1" applyBorder="1"/>
    <xf numFmtId="4" fontId="139" fillId="0" borderId="70" xfId="102" applyNumberFormat="1" applyFont="1" applyBorder="1"/>
    <xf numFmtId="4" fontId="139" fillId="0" borderId="70" xfId="102" applyNumberFormat="1" applyFont="1" applyBorder="1" applyAlignment="1">
      <alignment horizontal="left"/>
    </xf>
    <xf numFmtId="49" fontId="146" fillId="0" borderId="0" xfId="102" applyNumberFormat="1" applyFont="1"/>
    <xf numFmtId="4" fontId="147" fillId="0" borderId="0" xfId="102" applyNumberFormat="1" applyFont="1"/>
    <xf numFmtId="3" fontId="148" fillId="0" borderId="0" xfId="102" applyNumberFormat="1" applyFont="1"/>
    <xf numFmtId="0" fontId="147" fillId="0" borderId="0" xfId="102" applyFont="1"/>
    <xf numFmtId="0" fontId="149" fillId="0" borderId="0" xfId="103" applyFont="1"/>
    <xf numFmtId="49" fontId="140" fillId="0" borderId="0" xfId="102" applyNumberFormat="1" applyFont="1"/>
    <xf numFmtId="0" fontId="62" fillId="0" borderId="0" xfId="103" applyFont="1"/>
    <xf numFmtId="0" fontId="146" fillId="0" borderId="0" xfId="102" applyFont="1"/>
    <xf numFmtId="4" fontId="150" fillId="0" borderId="0" xfId="102" applyNumberFormat="1" applyFont="1"/>
    <xf numFmtId="0" fontId="151" fillId="0" borderId="0" xfId="102" applyFont="1"/>
    <xf numFmtId="3" fontId="147" fillId="0" borderId="0" xfId="102" applyNumberFormat="1" applyFont="1"/>
    <xf numFmtId="0" fontId="152" fillId="0" borderId="0" xfId="102" applyFont="1"/>
    <xf numFmtId="0" fontId="153" fillId="0" borderId="0" xfId="102" applyFont="1"/>
    <xf numFmtId="0" fontId="146" fillId="0" borderId="0" xfId="102" applyFont="1" applyAlignment="1">
      <alignment horizontal="left"/>
    </xf>
    <xf numFmtId="49" fontId="147" fillId="0" borderId="0" xfId="102" applyNumberFormat="1" applyFont="1"/>
    <xf numFmtId="49" fontId="57" fillId="0" borderId="0" xfId="102" applyNumberFormat="1" applyFont="1"/>
    <xf numFmtId="3" fontId="10" fillId="0" borderId="0" xfId="99" applyNumberFormat="1" applyFont="1" applyAlignment="1">
      <alignment horizontal="right"/>
    </xf>
    <xf numFmtId="3" fontId="9" fillId="0" borderId="46" xfId="99" applyNumberFormat="1" applyFont="1" applyBorder="1" applyAlignment="1">
      <alignment horizontal="right"/>
    </xf>
    <xf numFmtId="0" fontId="109" fillId="0" borderId="0" xfId="90" applyFont="1" applyAlignment="1">
      <alignment horizontal="center"/>
    </xf>
    <xf numFmtId="3" fontId="71" fillId="29" borderId="0" xfId="0" applyNumberFormat="1" applyFont="1" applyFill="1"/>
    <xf numFmtId="0" fontId="82" fillId="0" borderId="23" xfId="0" applyFont="1" applyBorder="1" applyAlignment="1">
      <alignment horizontal="center"/>
    </xf>
    <xf numFmtId="0" fontId="82" fillId="0" borderId="18" xfId="0" applyFont="1" applyBorder="1" applyAlignment="1">
      <alignment horizontal="center"/>
    </xf>
    <xf numFmtId="0" fontId="81" fillId="0" borderId="108" xfId="0" applyFont="1" applyBorder="1"/>
    <xf numFmtId="0" fontId="81" fillId="0" borderId="18" xfId="0" applyFont="1" applyBorder="1"/>
    <xf numFmtId="0" fontId="81" fillId="0" borderId="20" xfId="0" applyFont="1" applyBorder="1"/>
    <xf numFmtId="0" fontId="81" fillId="0" borderId="38" xfId="0" applyFont="1" applyBorder="1"/>
    <xf numFmtId="0" fontId="82" fillId="0" borderId="17" xfId="0" applyFont="1" applyBorder="1" applyAlignment="1">
      <alignment horizontal="left"/>
    </xf>
    <xf numFmtId="0" fontId="155" fillId="0" borderId="23" xfId="0" applyFont="1" applyBorder="1" applyAlignment="1">
      <alignment horizontal="center"/>
    </xf>
    <xf numFmtId="0" fontId="81" fillId="28" borderId="38" xfId="0" applyFont="1" applyFill="1" applyBorder="1"/>
    <xf numFmtId="3" fontId="81" fillId="28" borderId="40" xfId="0" applyNumberFormat="1" applyFont="1" applyFill="1" applyBorder="1" applyAlignment="1">
      <alignment wrapText="1"/>
    </xf>
    <xf numFmtId="0" fontId="82" fillId="0" borderId="26" xfId="0" applyFont="1" applyBorder="1" applyAlignment="1">
      <alignment horizontal="center"/>
    </xf>
    <xf numFmtId="0" fontId="156" fillId="0" borderId="18" xfId="0" applyFont="1" applyBorder="1" applyAlignment="1">
      <alignment horizontal="left"/>
    </xf>
    <xf numFmtId="3" fontId="81" fillId="28" borderId="18" xfId="0" applyNumberFormat="1" applyFont="1" applyFill="1" applyBorder="1" applyAlignment="1">
      <alignment wrapText="1"/>
    </xf>
    <xf numFmtId="3" fontId="81" fillId="0" borderId="40" xfId="0" applyNumberFormat="1" applyFont="1" applyBorder="1" applyAlignment="1">
      <alignment wrapText="1"/>
    </xf>
    <xf numFmtId="0" fontId="81" fillId="0" borderId="40" xfId="0" applyFont="1" applyBorder="1"/>
    <xf numFmtId="3" fontId="81" fillId="28" borderId="38" xfId="0" applyNumberFormat="1" applyFont="1" applyFill="1" applyBorder="1" applyAlignment="1">
      <alignment wrapText="1"/>
    </xf>
    <xf numFmtId="3" fontId="81" fillId="0" borderId="38" xfId="0" applyNumberFormat="1" applyFont="1" applyBorder="1" applyAlignment="1">
      <alignment wrapText="1"/>
    </xf>
    <xf numFmtId="49" fontId="81" fillId="0" borderId="62" xfId="0" applyNumberFormat="1" applyFont="1" applyBorder="1" applyAlignment="1">
      <alignment horizontal="justify" wrapText="1"/>
    </xf>
    <xf numFmtId="0" fontId="81" fillId="0" borderId="40" xfId="0" applyFont="1" applyBorder="1" applyAlignment="1">
      <alignment wrapText="1"/>
    </xf>
    <xf numFmtId="0" fontId="156" fillId="0" borderId="62" xfId="0" applyFont="1" applyBorder="1" applyAlignment="1">
      <alignment horizontal="justify" wrapText="1"/>
    </xf>
    <xf numFmtId="0" fontId="81" fillId="0" borderId="62" xfId="0" applyFont="1" applyBorder="1"/>
    <xf numFmtId="0" fontId="81" fillId="0" borderId="62" xfId="0" applyFont="1" applyBorder="1" applyAlignment="1">
      <alignment horizontal="justify" wrapText="1"/>
    </xf>
    <xf numFmtId="0" fontId="156" fillId="0" borderId="40" xfId="0" applyFont="1" applyBorder="1" applyAlignment="1">
      <alignment horizontal="justify" wrapText="1"/>
    </xf>
    <xf numFmtId="0" fontId="81" fillId="0" borderId="40" xfId="0" applyFont="1" applyBorder="1" applyAlignment="1">
      <alignment horizontal="justify" wrapText="1"/>
    </xf>
    <xf numFmtId="0" fontId="81" fillId="0" borderId="42" xfId="0" applyFont="1" applyBorder="1" applyAlignment="1">
      <alignment wrapText="1"/>
    </xf>
    <xf numFmtId="0" fontId="81" fillId="0" borderId="62" xfId="0" applyFont="1" applyBorder="1" applyAlignment="1">
      <alignment wrapText="1"/>
    </xf>
    <xf numFmtId="0" fontId="156" fillId="0" borderId="38" xfId="0" applyFont="1" applyBorder="1" applyAlignment="1">
      <alignment horizontal="justify" wrapText="1"/>
    </xf>
    <xf numFmtId="0" fontId="82" fillId="0" borderId="57" xfId="0" applyFont="1" applyBorder="1" applyAlignment="1">
      <alignment horizontal="center"/>
    </xf>
    <xf numFmtId="0" fontId="81" fillId="0" borderId="41" xfId="0" applyFont="1" applyBorder="1" applyAlignment="1">
      <alignment horizontal="justify" wrapText="1"/>
    </xf>
    <xf numFmtId="0" fontId="82" fillId="0" borderId="19" xfId="0" applyFont="1" applyBorder="1" applyAlignment="1">
      <alignment horizontal="center"/>
    </xf>
    <xf numFmtId="0" fontId="82" fillId="0" borderId="20" xfId="0" applyFont="1" applyBorder="1" applyAlignment="1">
      <alignment horizontal="left"/>
    </xf>
    <xf numFmtId="0" fontId="82" fillId="0" borderId="19" xfId="0" applyFont="1" applyBorder="1" applyAlignment="1">
      <alignment horizontal="left" wrapText="1"/>
    </xf>
    <xf numFmtId="0" fontId="81" fillId="0" borderId="0" xfId="0" applyFont="1"/>
    <xf numFmtId="0" fontId="84" fillId="0" borderId="0" xfId="0" applyFont="1"/>
    <xf numFmtId="3" fontId="81" fillId="0" borderId="0" xfId="0" applyNumberFormat="1" applyFont="1" applyAlignment="1">
      <alignment horizontal="right"/>
    </xf>
    <xf numFmtId="0" fontId="81" fillId="0" borderId="23" xfId="0" applyFont="1" applyBorder="1"/>
    <xf numFmtId="0" fontId="82" fillId="0" borderId="20" xfId="0" applyFont="1" applyBorder="1"/>
    <xf numFmtId="0" fontId="82" fillId="0" borderId="20" xfId="0" applyFont="1" applyBorder="1" applyAlignment="1">
      <alignment wrapText="1"/>
    </xf>
    <xf numFmtId="0" fontId="82" fillId="0" borderId="18" xfId="0" applyFont="1" applyBorder="1"/>
    <xf numFmtId="0" fontId="10" fillId="29" borderId="0" xfId="0" applyFont="1" applyFill="1"/>
    <xf numFmtId="0" fontId="112" fillId="0" borderId="0" xfId="98" applyFont="1" applyAlignment="1">
      <alignment horizontal="center"/>
    </xf>
    <xf numFmtId="0" fontId="110" fillId="0" borderId="0" xfId="78" applyFont="1" applyAlignment="1">
      <alignment horizontal="right"/>
    </xf>
    <xf numFmtId="0" fontId="157" fillId="0" borderId="23" xfId="0" applyFont="1" applyBorder="1"/>
    <xf numFmtId="3" fontId="157" fillId="0" borderId="27" xfId="0" applyNumberFormat="1" applyFont="1" applyBorder="1" applyAlignment="1">
      <alignment horizontal="right"/>
    </xf>
    <xf numFmtId="0" fontId="109" fillId="0" borderId="26" xfId="0" quotePrefix="1" applyFont="1" applyBorder="1"/>
    <xf numFmtId="3" fontId="109" fillId="0" borderId="58" xfId="0" quotePrefix="1" applyNumberFormat="1" applyFont="1" applyBorder="1" applyAlignment="1">
      <alignment horizontal="right"/>
    </xf>
    <xf numFmtId="49" fontId="110" fillId="0" borderId="18" xfId="0" applyNumberFormat="1" applyFont="1" applyBorder="1"/>
    <xf numFmtId="3" fontId="110" fillId="0" borderId="59" xfId="0" applyNumberFormat="1" applyFont="1" applyBorder="1"/>
    <xf numFmtId="0" fontId="110" fillId="0" borderId="26" xfId="0" quotePrefix="1" applyFont="1" applyBorder="1"/>
    <xf numFmtId="3" fontId="110" fillId="0" borderId="58" xfId="0" quotePrefix="1" applyNumberFormat="1" applyFont="1" applyBorder="1" applyAlignment="1">
      <alignment horizontal="right"/>
    </xf>
    <xf numFmtId="49" fontId="110" fillId="0" borderId="26" xfId="0" quotePrefix="1" applyNumberFormat="1" applyFont="1" applyBorder="1" applyAlignment="1">
      <alignment wrapText="1"/>
    </xf>
    <xf numFmtId="0" fontId="157" fillId="0" borderId="17" xfId="0" applyFont="1" applyBorder="1"/>
    <xf numFmtId="3" fontId="157" fillId="0" borderId="54" xfId="0" quotePrefix="1" applyNumberFormat="1" applyFont="1" applyBorder="1" applyAlignment="1">
      <alignment horizontal="right"/>
    </xf>
    <xf numFmtId="0" fontId="110" fillId="0" borderId="18" xfId="0" applyFont="1" applyBorder="1"/>
    <xf numFmtId="3" fontId="110" fillId="0" borderId="59" xfId="0" applyNumberFormat="1" applyFont="1" applyBorder="1" applyAlignment="1">
      <alignment horizontal="right"/>
    </xf>
    <xf numFmtId="0" fontId="110" fillId="0" borderId="26" xfId="0" applyFont="1" applyBorder="1"/>
    <xf numFmtId="3" fontId="111" fillId="0" borderId="58" xfId="0" applyNumberFormat="1" applyFont="1" applyBorder="1" applyAlignment="1">
      <alignment horizontal="right"/>
    </xf>
    <xf numFmtId="0" fontId="110" fillId="0" borderId="19" xfId="0" applyFont="1" applyBorder="1"/>
    <xf numFmtId="3" fontId="111" fillId="0" borderId="28" xfId="0" applyNumberFormat="1" applyFont="1" applyBorder="1" applyAlignment="1">
      <alignment horizontal="right"/>
    </xf>
    <xf numFmtId="0" fontId="154" fillId="0" borderId="0" xfId="88" applyFont="1"/>
    <xf numFmtId="0" fontId="125" fillId="0" borderId="0" xfId="88" applyFont="1" applyAlignment="1">
      <alignment wrapText="1"/>
    </xf>
    <xf numFmtId="0" fontId="125" fillId="0" borderId="0" xfId="88" applyFont="1"/>
    <xf numFmtId="0" fontId="158" fillId="0" borderId="0" xfId="77" applyFont="1"/>
    <xf numFmtId="0" fontId="81" fillId="0" borderId="0" xfId="78" applyFont="1" applyAlignment="1">
      <alignment horizontal="right"/>
    </xf>
    <xf numFmtId="0" fontId="82" fillId="0" borderId="23" xfId="77" applyFont="1" applyBorder="1" applyAlignment="1">
      <alignment horizontal="center"/>
    </xf>
    <xf numFmtId="0" fontId="82" fillId="0" borderId="45" xfId="0" applyFont="1" applyBorder="1" applyAlignment="1">
      <alignment horizontal="center"/>
    </xf>
    <xf numFmtId="0" fontId="81" fillId="0" borderId="19" xfId="77" applyFont="1" applyBorder="1" applyAlignment="1">
      <alignment horizontal="center"/>
    </xf>
    <xf numFmtId="0" fontId="156" fillId="0" borderId="119" xfId="77" applyFont="1" applyBorder="1" applyAlignment="1">
      <alignment horizontal="center"/>
    </xf>
    <xf numFmtId="0" fontId="82" fillId="0" borderId="129" xfId="0" applyFont="1" applyBorder="1" applyAlignment="1">
      <alignment horizontal="center"/>
    </xf>
    <xf numFmtId="0" fontId="82" fillId="0" borderId="120" xfId="0" applyFont="1" applyBorder="1" applyAlignment="1">
      <alignment horizontal="center"/>
    </xf>
    <xf numFmtId="0" fontId="81" fillId="0" borderId="127" xfId="77" applyFont="1" applyBorder="1" applyAlignment="1">
      <alignment horizontal="left" wrapText="1"/>
    </xf>
    <xf numFmtId="3" fontId="81" fillId="0" borderId="49" xfId="0" applyNumberFormat="1" applyFont="1" applyBorder="1"/>
    <xf numFmtId="3" fontId="81" fillId="0" borderId="58" xfId="0" applyNumberFormat="1" applyFont="1" applyBorder="1"/>
    <xf numFmtId="0" fontId="156" fillId="0" borderId="26" xfId="77" applyFont="1" applyBorder="1" applyAlignment="1">
      <alignment horizontal="center"/>
    </xf>
    <xf numFmtId="3" fontId="81" fillId="0" borderId="58" xfId="77" applyNumberFormat="1" applyFont="1" applyBorder="1" applyAlignment="1">
      <alignment horizontal="right"/>
    </xf>
    <xf numFmtId="0" fontId="81" fillId="0" borderId="26" xfId="77" applyFont="1" applyBorder="1" applyAlignment="1">
      <alignment horizontal="left" wrapText="1"/>
    </xf>
    <xf numFmtId="3" fontId="81" fillId="0" borderId="32" xfId="0" applyNumberFormat="1" applyFont="1" applyBorder="1" applyAlignment="1">
      <alignment horizontal="right"/>
    </xf>
    <xf numFmtId="3" fontId="81" fillId="0" borderId="58" xfId="0" applyNumberFormat="1" applyFont="1" applyBorder="1" applyAlignment="1">
      <alignment horizontal="right"/>
    </xf>
    <xf numFmtId="0" fontId="81" fillId="0" borderId="26" xfId="0" applyFont="1" applyBorder="1" applyAlignment="1">
      <alignment wrapText="1"/>
    </xf>
    <xf numFmtId="3" fontId="81" fillId="0" borderId="32" xfId="77" applyNumberFormat="1" applyFont="1" applyBorder="1" applyAlignment="1">
      <alignment horizontal="right"/>
    </xf>
    <xf numFmtId="3" fontId="85" fillId="29" borderId="58" xfId="77" applyNumberFormat="1" applyFont="1" applyFill="1" applyBorder="1" applyAlignment="1">
      <alignment horizontal="right"/>
    </xf>
    <xf numFmtId="3" fontId="81" fillId="29" borderId="58" xfId="77" applyNumberFormat="1" applyFont="1" applyFill="1" applyBorder="1" applyAlignment="1">
      <alignment horizontal="right"/>
    </xf>
    <xf numFmtId="3" fontId="85" fillId="0" borderId="58" xfId="77" applyNumberFormat="1" applyFont="1" applyBorder="1" applyAlignment="1">
      <alignment horizontal="right"/>
    </xf>
    <xf numFmtId="0" fontId="82" fillId="0" borderId="17" xfId="77" applyFont="1" applyBorder="1" applyAlignment="1">
      <alignment horizontal="center"/>
    </xf>
    <xf numFmtId="3" fontId="82" fillId="0" borderId="44" xfId="77" applyNumberFormat="1" applyFont="1" applyBorder="1"/>
    <xf numFmtId="3" fontId="82" fillId="0" borderId="54" xfId="77" applyNumberFormat="1" applyFont="1" applyBorder="1"/>
    <xf numFmtId="0" fontId="81" fillId="0" borderId="0" xfId="77" applyFont="1"/>
    <xf numFmtId="0" fontId="81" fillId="0" borderId="0" xfId="0" applyFont="1" applyAlignment="1">
      <alignment horizontal="right"/>
    </xf>
    <xf numFmtId="0" fontId="81" fillId="0" borderId="94" xfId="77" applyFont="1" applyBorder="1" applyAlignment="1">
      <alignment horizontal="center"/>
    </xf>
    <xf numFmtId="0" fontId="82" fillId="0" borderId="121" xfId="0" applyFont="1" applyBorder="1" applyAlignment="1">
      <alignment horizontal="center"/>
    </xf>
    <xf numFmtId="0" fontId="82" fillId="0" borderId="130" xfId="0" applyFont="1" applyBorder="1" applyAlignment="1">
      <alignment horizontal="center"/>
    </xf>
    <xf numFmtId="0" fontId="82" fillId="0" borderId="18" xfId="77" applyFont="1" applyBorder="1"/>
    <xf numFmtId="0" fontId="82" fillId="0" borderId="29" xfId="0" applyFont="1" applyBorder="1" applyAlignment="1">
      <alignment horizontal="center"/>
    </xf>
    <xf numFmtId="0" fontId="81" fillId="0" borderId="26" xfId="0" applyFont="1" applyBorder="1" applyAlignment="1">
      <alignment horizontal="justify" wrapText="1"/>
    </xf>
    <xf numFmtId="3" fontId="81" fillId="0" borderId="32" xfId="0" applyNumberFormat="1" applyFont="1" applyBorder="1"/>
    <xf numFmtId="3" fontId="85" fillId="0" borderId="58" xfId="0" applyNumberFormat="1" applyFont="1" applyBorder="1"/>
    <xf numFmtId="3" fontId="85" fillId="29" borderId="58" xfId="0" applyNumberFormat="1" applyFont="1" applyFill="1" applyBorder="1"/>
    <xf numFmtId="3" fontId="81" fillId="29" borderId="58" xfId="0" applyNumberFormat="1" applyFont="1" applyFill="1" applyBorder="1"/>
    <xf numFmtId="0" fontId="81" fillId="0" borderId="17" xfId="0" applyFont="1" applyBorder="1" applyAlignment="1">
      <alignment horizontal="justify" wrapText="1"/>
    </xf>
    <xf numFmtId="3" fontId="81" fillId="0" borderId="43" xfId="0" applyNumberFormat="1" applyFont="1" applyBorder="1"/>
    <xf numFmtId="3" fontId="85" fillId="0" borderId="54" xfId="0" applyNumberFormat="1" applyFont="1" applyBorder="1"/>
    <xf numFmtId="0" fontId="156" fillId="0" borderId="103" xfId="77" applyFont="1" applyBorder="1" applyAlignment="1">
      <alignment horizontal="center"/>
    </xf>
    <xf numFmtId="3" fontId="81" fillId="0" borderId="21" xfId="0" applyNumberFormat="1" applyFont="1" applyBorder="1" applyAlignment="1">
      <alignment horizontal="right"/>
    </xf>
    <xf numFmtId="3" fontId="81" fillId="0" borderId="81" xfId="0" applyNumberFormat="1" applyFont="1" applyBorder="1" applyAlignment="1">
      <alignment horizontal="right"/>
    </xf>
    <xf numFmtId="0" fontId="82" fillId="0" borderId="136" xfId="77" applyFont="1" applyBorder="1"/>
    <xf numFmtId="0" fontId="81" fillId="0" borderId="101" xfId="77" applyFont="1" applyBorder="1"/>
    <xf numFmtId="3" fontId="81" fillId="0" borderId="130" xfId="77" applyNumberFormat="1" applyFont="1" applyBorder="1" applyAlignment="1">
      <alignment horizontal="right"/>
    </xf>
    <xf numFmtId="3" fontId="81" fillId="0" borderId="32" xfId="77" applyNumberFormat="1" applyFont="1" applyBorder="1"/>
    <xf numFmtId="3" fontId="81" fillId="0" borderId="58" xfId="77" applyNumberFormat="1" applyFont="1" applyBorder="1"/>
    <xf numFmtId="3" fontId="81" fillId="29" borderId="58" xfId="77" applyNumberFormat="1" applyFont="1" applyFill="1" applyBorder="1"/>
    <xf numFmtId="3" fontId="85" fillId="0" borderId="32" xfId="77" applyNumberFormat="1" applyFont="1" applyBorder="1"/>
    <xf numFmtId="3" fontId="85" fillId="0" borderId="58" xfId="77" applyNumberFormat="1" applyFont="1" applyBorder="1"/>
    <xf numFmtId="0" fontId="82" fillId="0" borderId="20" xfId="77" applyFont="1" applyBorder="1" applyAlignment="1">
      <alignment horizontal="center"/>
    </xf>
    <xf numFmtId="3" fontId="82" fillId="0" borderId="21" xfId="77" applyNumberFormat="1" applyFont="1" applyBorder="1" applyAlignment="1">
      <alignment horizontal="right"/>
    </xf>
    <xf numFmtId="3" fontId="82" fillId="0" borderId="60" xfId="77" applyNumberFormat="1" applyFont="1" applyBorder="1" applyAlignment="1">
      <alignment horizontal="right"/>
    </xf>
    <xf numFmtId="0" fontId="109" fillId="0" borderId="16" xfId="89" applyFont="1" applyBorder="1" applyAlignment="1">
      <alignment horizontal="center"/>
    </xf>
    <xf numFmtId="0" fontId="110" fillId="0" borderId="0" xfId="0" applyFont="1" applyAlignment="1">
      <alignment horizontal="right"/>
    </xf>
    <xf numFmtId="0" fontId="109" fillId="0" borderId="23" xfId="0" applyFont="1" applyBorder="1" applyAlignment="1">
      <alignment horizontal="center"/>
    </xf>
    <xf numFmtId="0" fontId="109" fillId="0" borderId="45" xfId="0" applyFont="1" applyBorder="1" applyAlignment="1">
      <alignment horizontal="center"/>
    </xf>
    <xf numFmtId="0" fontId="109" fillId="0" borderId="46" xfId="0" applyFont="1" applyBorder="1" applyAlignment="1">
      <alignment horizontal="center"/>
    </xf>
    <xf numFmtId="0" fontId="109" fillId="0" borderId="53" xfId="77" applyFont="1" applyBorder="1" applyAlignment="1">
      <alignment horizontal="center"/>
    </xf>
    <xf numFmtId="0" fontId="110" fillId="0" borderId="19" xfId="77" applyFont="1" applyBorder="1"/>
    <xf numFmtId="0" fontId="110" fillId="0" borderId="16" xfId="77" applyFont="1" applyBorder="1" applyAlignment="1">
      <alignment horizontal="center"/>
    </xf>
    <xf numFmtId="0" fontId="109" fillId="0" borderId="19" xfId="0" applyFont="1" applyBorder="1" applyAlignment="1">
      <alignment horizontal="center"/>
    </xf>
    <xf numFmtId="0" fontId="109" fillId="0" borderId="61" xfId="0" applyFont="1" applyBorder="1" applyAlignment="1">
      <alignment horizontal="center"/>
    </xf>
    <xf numFmtId="0" fontId="109" fillId="0" borderId="16" xfId="0" applyFont="1" applyBorder="1" applyAlignment="1">
      <alignment horizontal="center"/>
    </xf>
    <xf numFmtId="0" fontId="109" fillId="0" borderId="84" xfId="0" applyFont="1" applyBorder="1" applyAlignment="1">
      <alignment horizontal="center"/>
    </xf>
    <xf numFmtId="0" fontId="109" fillId="0" borderId="20" xfId="77" applyFont="1" applyBorder="1" applyAlignment="1">
      <alignment horizontal="right"/>
    </xf>
    <xf numFmtId="0" fontId="109" fillId="0" borderId="93" xfId="77" applyFont="1" applyBorder="1"/>
    <xf numFmtId="3" fontId="109" fillId="0" borderId="20" xfId="77" applyNumberFormat="1" applyFont="1" applyBorder="1" applyAlignment="1">
      <alignment horizontal="right"/>
    </xf>
    <xf numFmtId="3" fontId="109" fillId="0" borderId="48" xfId="77" applyNumberFormat="1" applyFont="1" applyBorder="1" applyAlignment="1">
      <alignment horizontal="right"/>
    </xf>
    <xf numFmtId="3" fontId="109" fillId="0" borderId="21" xfId="77" applyNumberFormat="1" applyFont="1" applyBorder="1" applyAlignment="1">
      <alignment horizontal="right"/>
    </xf>
    <xf numFmtId="3" fontId="109" fillId="0" borderId="60" xfId="77" applyNumberFormat="1" applyFont="1" applyBorder="1" applyAlignment="1">
      <alignment horizontal="right"/>
    </xf>
    <xf numFmtId="0" fontId="109" fillId="0" borderId="18" xfId="77" applyFont="1" applyBorder="1" applyAlignment="1">
      <alignment horizontal="right"/>
    </xf>
    <xf numFmtId="0" fontId="109" fillId="0" borderId="0" xfId="77" applyFont="1"/>
    <xf numFmtId="3" fontId="110" fillId="0" borderId="18" xfId="77" applyNumberFormat="1" applyFont="1" applyBorder="1" applyAlignment="1">
      <alignment horizontal="center"/>
    </xf>
    <xf numFmtId="3" fontId="110" fillId="0" borderId="29" xfId="77" applyNumberFormat="1" applyFont="1" applyBorder="1" applyAlignment="1">
      <alignment horizontal="center"/>
    </xf>
    <xf numFmtId="3" fontId="110" fillId="0" borderId="15" xfId="77" applyNumberFormat="1" applyFont="1" applyBorder="1" applyAlignment="1">
      <alignment horizontal="center"/>
    </xf>
    <xf numFmtId="3" fontId="110" fillId="0" borderId="29" xfId="77" applyNumberFormat="1" applyFont="1" applyBorder="1" applyAlignment="1">
      <alignment horizontal="right"/>
    </xf>
    <xf numFmtId="3" fontId="110" fillId="0" borderId="59" xfId="77" applyNumberFormat="1" applyFont="1" applyBorder="1" applyAlignment="1">
      <alignment horizontal="right"/>
    </xf>
    <xf numFmtId="0" fontId="110" fillId="0" borderId="18" xfId="77" applyFont="1" applyBorder="1" applyAlignment="1">
      <alignment horizontal="right"/>
    </xf>
    <xf numFmtId="0" fontId="110" fillId="0" borderId="50" xfId="77" applyFont="1" applyBorder="1"/>
    <xf numFmtId="3" fontId="110" fillId="0" borderId="18" xfId="77" applyNumberFormat="1" applyFont="1" applyBorder="1" applyAlignment="1">
      <alignment horizontal="right"/>
    </xf>
    <xf numFmtId="3" fontId="110" fillId="0" borderId="15" xfId="77" applyNumberFormat="1" applyFont="1" applyBorder="1" applyAlignment="1">
      <alignment horizontal="right"/>
    </xf>
    <xf numFmtId="0" fontId="109" fillId="0" borderId="57" xfId="77" applyFont="1" applyBorder="1" applyAlignment="1">
      <alignment horizontal="right"/>
    </xf>
    <xf numFmtId="0" fontId="109" fillId="0" borderId="104" xfId="77" applyFont="1" applyBorder="1" applyAlignment="1">
      <alignment horizontal="right"/>
    </xf>
    <xf numFmtId="3" fontId="109" fillId="0" borderId="57" xfId="77" applyNumberFormat="1" applyFont="1" applyBorder="1" applyAlignment="1">
      <alignment horizontal="right"/>
    </xf>
    <xf numFmtId="3" fontId="109" fillId="0" borderId="82" xfId="77" applyNumberFormat="1" applyFont="1" applyBorder="1" applyAlignment="1">
      <alignment horizontal="right"/>
    </xf>
    <xf numFmtId="3" fontId="109" fillId="0" borderId="55" xfId="77" applyNumberFormat="1" applyFont="1" applyBorder="1" applyAlignment="1">
      <alignment horizontal="right"/>
    </xf>
    <xf numFmtId="3" fontId="109" fillId="0" borderId="56" xfId="77" applyNumberFormat="1" applyFont="1" applyBorder="1" applyAlignment="1">
      <alignment horizontal="right"/>
    </xf>
    <xf numFmtId="0" fontId="109" fillId="0" borderId="23" xfId="77" applyFont="1" applyBorder="1" applyAlignment="1">
      <alignment horizontal="right"/>
    </xf>
    <xf numFmtId="0" fontId="109" fillId="0" borderId="46" xfId="77" applyFont="1" applyBorder="1"/>
    <xf numFmtId="3" fontId="110" fillId="0" borderId="23" xfId="77" applyNumberFormat="1" applyFont="1" applyBorder="1" applyAlignment="1">
      <alignment horizontal="center"/>
    </xf>
    <xf numFmtId="3" fontId="110" fillId="0" borderId="47" xfId="77" applyNumberFormat="1" applyFont="1" applyBorder="1" applyAlignment="1">
      <alignment horizontal="center"/>
    </xf>
    <xf numFmtId="3" fontId="110" fillId="0" borderId="47" xfId="77" applyNumberFormat="1" applyFont="1" applyBorder="1" applyAlignment="1">
      <alignment horizontal="right"/>
    </xf>
    <xf numFmtId="3" fontId="110" fillId="0" borderId="27" xfId="77" applyNumberFormat="1" applyFont="1" applyBorder="1" applyAlignment="1">
      <alignment horizontal="right"/>
    </xf>
    <xf numFmtId="0" fontId="110" fillId="0" borderId="98" xfId="77" applyFont="1" applyBorder="1" applyAlignment="1">
      <alignment horizontal="right"/>
    </xf>
    <xf numFmtId="3" fontId="110" fillId="0" borderId="98" xfId="77" applyNumberFormat="1" applyFont="1" applyBorder="1" applyAlignment="1">
      <alignment horizontal="right"/>
    </xf>
    <xf numFmtId="3" fontId="110" fillId="0" borderId="101" xfId="77" applyNumberFormat="1" applyFont="1" applyBorder="1" applyAlignment="1">
      <alignment horizontal="right"/>
    </xf>
    <xf numFmtId="3" fontId="110" fillId="0" borderId="91" xfId="77" applyNumberFormat="1" applyFont="1" applyBorder="1" applyAlignment="1">
      <alignment horizontal="right"/>
    </xf>
    <xf numFmtId="3" fontId="110" fillId="0" borderId="100" xfId="77" applyNumberFormat="1" applyFont="1" applyBorder="1" applyAlignment="1">
      <alignment horizontal="right"/>
    </xf>
    <xf numFmtId="0" fontId="109" fillId="0" borderId="17" xfId="77" applyFont="1" applyBorder="1" applyAlignment="1">
      <alignment horizontal="right"/>
    </xf>
    <xf numFmtId="0" fontId="109" fillId="0" borderId="22" xfId="77" applyFont="1" applyBorder="1" applyAlignment="1">
      <alignment horizontal="right"/>
    </xf>
    <xf numFmtId="3" fontId="109" fillId="0" borderId="17" xfId="77" applyNumberFormat="1" applyFont="1" applyBorder="1" applyAlignment="1">
      <alignment horizontal="right"/>
    </xf>
    <xf numFmtId="3" fontId="109" fillId="0" borderId="43" xfId="77" applyNumberFormat="1" applyFont="1" applyBorder="1" applyAlignment="1">
      <alignment horizontal="right"/>
    </xf>
    <xf numFmtId="3" fontId="109" fillId="0" borderId="22" xfId="77" applyNumberFormat="1" applyFont="1" applyBorder="1" applyAlignment="1">
      <alignment horizontal="right"/>
    </xf>
    <xf numFmtId="3" fontId="109" fillId="0" borderId="80" xfId="77" applyNumberFormat="1" applyFont="1" applyBorder="1" applyAlignment="1">
      <alignment horizontal="right"/>
    </xf>
    <xf numFmtId="3" fontId="110" fillId="0" borderId="91" xfId="0" applyNumberFormat="1" applyFont="1" applyBorder="1" applyAlignment="1">
      <alignment horizontal="justify"/>
    </xf>
    <xf numFmtId="3" fontId="109" fillId="0" borderId="54" xfId="77" applyNumberFormat="1" applyFont="1" applyBorder="1" applyAlignment="1">
      <alignment horizontal="right"/>
    </xf>
    <xf numFmtId="0" fontId="109" fillId="0" borderId="123" xfId="77" applyFont="1" applyBorder="1"/>
    <xf numFmtId="3" fontId="110" fillId="0" borderId="0" xfId="77" applyNumberFormat="1" applyFont="1" applyAlignment="1">
      <alignment horizontal="center"/>
    </xf>
    <xf numFmtId="3" fontId="110" fillId="0" borderId="86" xfId="77" applyNumberFormat="1" applyFont="1" applyBorder="1" applyAlignment="1">
      <alignment horizontal="right"/>
    </xf>
    <xf numFmtId="0" fontId="110" fillId="0" borderId="85" xfId="77" applyFont="1" applyBorder="1"/>
    <xf numFmtId="3" fontId="110" fillId="0" borderId="41" xfId="77" applyNumberFormat="1" applyFont="1" applyBorder="1" applyAlignment="1">
      <alignment horizontal="right"/>
    </xf>
    <xf numFmtId="3" fontId="110" fillId="0" borderId="64" xfId="77" applyNumberFormat="1" applyFont="1" applyBorder="1" applyAlignment="1">
      <alignment horizontal="right"/>
    </xf>
    <xf numFmtId="3" fontId="110" fillId="0" borderId="95" xfId="77" applyNumberFormat="1" applyFont="1" applyBorder="1" applyAlignment="1">
      <alignment horizontal="right"/>
    </xf>
    <xf numFmtId="3" fontId="110" fillId="0" borderId="140" xfId="77" applyNumberFormat="1" applyFont="1" applyBorder="1" applyAlignment="1">
      <alignment horizontal="right"/>
    </xf>
    <xf numFmtId="0" fontId="109" fillId="0" borderId="80" xfId="77" applyFont="1" applyBorder="1" applyAlignment="1">
      <alignment horizontal="right"/>
    </xf>
    <xf numFmtId="0" fontId="110" fillId="0" borderId="20" xfId="77" applyFont="1" applyBorder="1" applyAlignment="1">
      <alignment horizontal="right"/>
    </xf>
    <xf numFmtId="3" fontId="109" fillId="0" borderId="20" xfId="77" applyNumberFormat="1" applyFont="1" applyBorder="1"/>
    <xf numFmtId="3" fontId="109" fillId="0" borderId="77" xfId="77" applyNumberFormat="1" applyFont="1" applyBorder="1"/>
    <xf numFmtId="0" fontId="110" fillId="0" borderId="0" xfId="77" applyFont="1" applyAlignment="1">
      <alignment horizontal="right"/>
    </xf>
    <xf numFmtId="3" fontId="109" fillId="0" borderId="0" xfId="77" applyNumberFormat="1" applyFont="1"/>
    <xf numFmtId="0" fontId="110" fillId="0" borderId="0" xfId="77" applyFont="1"/>
    <xf numFmtId="0" fontId="159" fillId="0" borderId="0" xfId="77" applyFont="1"/>
    <xf numFmtId="3" fontId="110" fillId="0" borderId="0" xfId="77" applyNumberFormat="1" applyFont="1"/>
    <xf numFmtId="0" fontId="109" fillId="0" borderId="16" xfId="90" applyFont="1" applyBorder="1" applyAlignment="1">
      <alignment horizontal="center"/>
    </xf>
    <xf numFmtId="0" fontId="109" fillId="0" borderId="23" xfId="90" applyFont="1" applyBorder="1" applyAlignment="1">
      <alignment horizontal="center"/>
    </xf>
    <xf numFmtId="0" fontId="109" fillId="0" borderId="83" xfId="90" applyFont="1" applyBorder="1"/>
    <xf numFmtId="49" fontId="109" fillId="0" borderId="83" xfId="90" applyNumberFormat="1" applyFont="1" applyBorder="1" applyAlignment="1">
      <alignment horizontal="center"/>
    </xf>
    <xf numFmtId="0" fontId="109" fillId="0" borderId="18" xfId="90" applyFont="1" applyBorder="1" applyAlignment="1">
      <alignment horizontal="center"/>
    </xf>
    <xf numFmtId="0" fontId="109" fillId="0" borderId="86" xfId="90" applyFont="1" applyBorder="1" applyAlignment="1">
      <alignment horizontal="center"/>
    </xf>
    <xf numFmtId="0" fontId="109" fillId="0" borderId="69" xfId="90" applyFont="1" applyBorder="1"/>
    <xf numFmtId="2" fontId="109" fillId="0" borderId="69" xfId="90" applyNumberFormat="1" applyFont="1" applyBorder="1" applyAlignment="1">
      <alignment horizontal="center"/>
    </xf>
    <xf numFmtId="0" fontId="109" fillId="0" borderId="19" xfId="90" applyFont="1" applyBorder="1" applyAlignment="1">
      <alignment horizontal="center"/>
    </xf>
    <xf numFmtId="0" fontId="109" fillId="0" borderId="84" xfId="90" applyFont="1" applyBorder="1" applyAlignment="1">
      <alignment horizontal="center"/>
    </xf>
    <xf numFmtId="0" fontId="109" fillId="0" borderId="70" xfId="90" applyFont="1" applyBorder="1"/>
    <xf numFmtId="49" fontId="109" fillId="0" borderId="70" xfId="90" applyNumberFormat="1" applyFont="1" applyBorder="1" applyAlignment="1">
      <alignment horizontal="center"/>
    </xf>
    <xf numFmtId="49" fontId="109" fillId="0" borderId="86" xfId="90" applyNumberFormat="1" applyFont="1" applyBorder="1" applyAlignment="1">
      <alignment horizontal="center"/>
    </xf>
    <xf numFmtId="3" fontId="110" fillId="0" borderId="18" xfId="90" applyNumberFormat="1" applyFont="1" applyBorder="1" applyAlignment="1">
      <alignment horizontal="center"/>
    </xf>
    <xf numFmtId="0" fontId="110" fillId="0" borderId="18" xfId="90" applyFont="1" applyBorder="1"/>
    <xf numFmtId="0" fontId="110" fillId="0" borderId="86" xfId="90" applyFont="1" applyBorder="1"/>
    <xf numFmtId="0" fontId="110" fillId="0" borderId="69" xfId="90" applyFont="1" applyBorder="1"/>
    <xf numFmtId="3" fontId="110" fillId="0" borderId="59" xfId="90" applyNumberFormat="1" applyFont="1" applyBorder="1"/>
    <xf numFmtId="3" fontId="109" fillId="0" borderId="26" xfId="90" applyNumberFormat="1" applyFont="1" applyBorder="1" applyAlignment="1">
      <alignment horizontal="center"/>
    </xf>
    <xf numFmtId="0" fontId="109" fillId="0" borderId="26" xfId="90" applyFont="1" applyBorder="1"/>
    <xf numFmtId="0" fontId="109" fillId="0" borderId="88" xfId="90" applyFont="1" applyBorder="1"/>
    <xf numFmtId="0" fontId="109" fillId="0" borderId="78" xfId="90" applyFont="1" applyBorder="1"/>
    <xf numFmtId="3" fontId="109" fillId="0" borderId="58" xfId="90" applyNumberFormat="1" applyFont="1" applyBorder="1"/>
    <xf numFmtId="3" fontId="109" fillId="0" borderId="18" xfId="90" applyNumberFormat="1" applyFont="1" applyBorder="1" applyAlignment="1">
      <alignment horizontal="center"/>
    </xf>
    <xf numFmtId="0" fontId="109" fillId="0" borderId="18" xfId="90" applyFont="1" applyBorder="1"/>
    <xf numFmtId="0" fontId="109" fillId="0" borderId="86" xfId="90" applyFont="1" applyBorder="1"/>
    <xf numFmtId="3" fontId="109" fillId="0" borderId="59" xfId="90" applyNumberFormat="1" applyFont="1" applyBorder="1"/>
    <xf numFmtId="0" fontId="109" fillId="0" borderId="17" xfId="90" applyFont="1" applyBorder="1"/>
    <xf numFmtId="0" fontId="109" fillId="0" borderId="80" xfId="90" applyFont="1" applyBorder="1"/>
    <xf numFmtId="0" fontId="109" fillId="0" borderId="76" xfId="90" applyFont="1" applyBorder="1"/>
    <xf numFmtId="3" fontId="109" fillId="0" borderId="54" xfId="90" applyNumberFormat="1" applyFont="1" applyBorder="1"/>
    <xf numFmtId="3" fontId="109" fillId="0" borderId="83" xfId="90" applyNumberFormat="1" applyFont="1" applyBorder="1"/>
    <xf numFmtId="3" fontId="110" fillId="0" borderId="69" xfId="90" applyNumberFormat="1" applyFont="1" applyBorder="1"/>
    <xf numFmtId="3" fontId="109" fillId="0" borderId="78" xfId="90" applyNumberFormat="1" applyFont="1" applyBorder="1"/>
    <xf numFmtId="3" fontId="109" fillId="0" borderId="69" xfId="90" applyNumberFormat="1" applyFont="1" applyBorder="1"/>
    <xf numFmtId="3" fontId="109" fillId="0" borderId="76" xfId="90" applyNumberFormat="1" applyFont="1" applyBorder="1"/>
    <xf numFmtId="3" fontId="109" fillId="0" borderId="86" xfId="90" applyNumberFormat="1" applyFont="1" applyBorder="1"/>
    <xf numFmtId="0" fontId="109" fillId="0" borderId="89" xfId="90" applyFont="1" applyBorder="1"/>
    <xf numFmtId="3" fontId="109" fillId="0" borderId="56" xfId="90" applyNumberFormat="1" applyFont="1" applyBorder="1"/>
    <xf numFmtId="0" fontId="109" fillId="0" borderId="23" xfId="90" applyFont="1" applyBorder="1"/>
    <xf numFmtId="0" fontId="109" fillId="0" borderId="53" xfId="90" applyFont="1" applyBorder="1"/>
    <xf numFmtId="0" fontId="110" fillId="0" borderId="86" xfId="0" applyFont="1" applyBorder="1" applyAlignment="1">
      <alignment wrapText="1"/>
    </xf>
    <xf numFmtId="0" fontId="110" fillId="0" borderId="19" xfId="90" applyFont="1" applyBorder="1"/>
    <xf numFmtId="0" fontId="110" fillId="0" borderId="84" xfId="90" applyFont="1" applyBorder="1"/>
    <xf numFmtId="0" fontId="110" fillId="0" borderId="70" xfId="90" applyFont="1" applyBorder="1"/>
    <xf numFmtId="3" fontId="110" fillId="0" borderId="70" xfId="90" applyNumberFormat="1" applyFont="1" applyBorder="1"/>
    <xf numFmtId="3" fontId="160" fillId="0" borderId="18" xfId="90" applyNumberFormat="1" applyFont="1" applyBorder="1" applyAlignment="1">
      <alignment horizontal="center"/>
    </xf>
    <xf numFmtId="0" fontId="160" fillId="0" borderId="18" xfId="90" applyFont="1" applyBorder="1" applyAlignment="1">
      <alignment wrapText="1"/>
    </xf>
    <xf numFmtId="0" fontId="160" fillId="0" borderId="69" xfId="90" applyFont="1" applyBorder="1"/>
    <xf numFmtId="3" fontId="160" fillId="0" borderId="59" xfId="90" applyNumberFormat="1" applyFont="1" applyBorder="1"/>
    <xf numFmtId="0" fontId="109" fillId="0" borderId="53" xfId="90" applyFont="1" applyBorder="1" applyAlignment="1">
      <alignment horizontal="center"/>
    </xf>
    <xf numFmtId="3" fontId="110" fillId="0" borderId="115" xfId="90" applyNumberFormat="1" applyFont="1" applyBorder="1" applyAlignment="1">
      <alignment horizontal="center"/>
    </xf>
    <xf numFmtId="3" fontId="160" fillId="0" borderId="20" xfId="90" applyNumberFormat="1" applyFont="1" applyBorder="1" applyAlignment="1">
      <alignment horizontal="center"/>
    </xf>
    <xf numFmtId="0" fontId="160" fillId="0" borderId="77" xfId="90" applyFont="1" applyBorder="1"/>
    <xf numFmtId="3" fontId="160" fillId="0" borderId="60" xfId="90" applyNumberFormat="1" applyFont="1" applyBorder="1"/>
    <xf numFmtId="3" fontId="160" fillId="0" borderId="0" xfId="90" applyNumberFormat="1" applyFont="1" applyAlignment="1">
      <alignment horizontal="center"/>
    </xf>
    <xf numFmtId="0" fontId="160" fillId="0" borderId="0" xfId="90" applyFont="1" applyAlignment="1">
      <alignment wrapText="1"/>
    </xf>
    <xf numFmtId="0" fontId="110" fillId="0" borderId="0" xfId="0" applyFont="1" applyAlignment="1">
      <alignment wrapText="1"/>
    </xf>
    <xf numFmtId="0" fontId="160" fillId="0" borderId="0" xfId="90" applyFont="1"/>
    <xf numFmtId="3" fontId="160" fillId="0" borderId="0" xfId="90" applyNumberFormat="1" applyFont="1"/>
    <xf numFmtId="0" fontId="109" fillId="0" borderId="46" xfId="90" applyFont="1" applyBorder="1"/>
    <xf numFmtId="0" fontId="109" fillId="0" borderId="0" xfId="90" applyFont="1"/>
    <xf numFmtId="0" fontId="109" fillId="0" borderId="16" xfId="90" applyFont="1" applyBorder="1"/>
    <xf numFmtId="0" fontId="110" fillId="0" borderId="0" xfId="90" applyFont="1"/>
    <xf numFmtId="0" fontId="109" fillId="0" borderId="24" xfId="90" applyFont="1" applyBorder="1"/>
    <xf numFmtId="0" fontId="110" fillId="0" borderId="98" xfId="90" applyFont="1" applyBorder="1"/>
    <xf numFmtId="0" fontId="160" fillId="0" borderId="93" xfId="90" applyFont="1" applyBorder="1"/>
    <xf numFmtId="0" fontId="70" fillId="0" borderId="0" xfId="90" applyFont="1" applyAlignment="1">
      <alignment horizontal="center"/>
    </xf>
    <xf numFmtId="0" fontId="70" fillId="0" borderId="0" xfId="90" applyFont="1"/>
    <xf numFmtId="3" fontId="70" fillId="0" borderId="0" xfId="90" applyNumberFormat="1" applyFont="1"/>
    <xf numFmtId="0" fontId="82" fillId="0" borderId="20" xfId="91" applyFont="1" applyBorder="1" applyAlignment="1">
      <alignment horizontal="centerContinuous"/>
    </xf>
    <xf numFmtId="3" fontId="82" fillId="0" borderId="125" xfId="91" applyNumberFormat="1" applyFont="1" applyBorder="1" applyAlignment="1">
      <alignment horizontal="centerContinuous"/>
    </xf>
    <xf numFmtId="0" fontId="82" fillId="0" borderId="93" xfId="91" applyFont="1" applyBorder="1" applyAlignment="1">
      <alignment horizontal="centerContinuous"/>
    </xf>
    <xf numFmtId="3" fontId="82" fillId="0" borderId="93" xfId="91" applyNumberFormat="1" applyFont="1" applyBorder="1" applyAlignment="1">
      <alignment horizontal="centerContinuous"/>
    </xf>
    <xf numFmtId="3" fontId="82" fillId="0" borderId="81" xfId="91" applyNumberFormat="1" applyFont="1" applyBorder="1" applyAlignment="1">
      <alignment horizontal="justify"/>
    </xf>
    <xf numFmtId="0" fontId="82" fillId="0" borderId="18" xfId="91" applyFont="1" applyBorder="1"/>
    <xf numFmtId="3" fontId="82" fillId="0" borderId="31" xfId="91" applyNumberFormat="1" applyFont="1" applyBorder="1"/>
    <xf numFmtId="0" fontId="82" fillId="0" borderId="0" xfId="91" applyFont="1"/>
    <xf numFmtId="3" fontId="82" fillId="0" borderId="0" xfId="91" applyNumberFormat="1" applyFont="1"/>
    <xf numFmtId="0" fontId="81" fillId="0" borderId="86" xfId="91" applyFont="1" applyBorder="1"/>
    <xf numFmtId="0" fontId="81" fillId="0" borderId="18" xfId="91" applyFont="1" applyBorder="1"/>
    <xf numFmtId="3" fontId="81" fillId="0" borderId="31" xfId="91" applyNumberFormat="1" applyFont="1" applyBorder="1" applyAlignment="1">
      <alignment horizontal="center"/>
    </xf>
    <xf numFmtId="0" fontId="81" fillId="0" borderId="0" xfId="91" applyFont="1"/>
    <xf numFmtId="3" fontId="81" fillId="0" borderId="0" xfId="91" applyNumberFormat="1" applyFont="1"/>
    <xf numFmtId="3" fontId="81" fillId="0" borderId="31" xfId="91" applyNumberFormat="1" applyFont="1" applyBorder="1"/>
    <xf numFmtId="0" fontId="82" fillId="0" borderId="17" xfId="91" applyFont="1" applyBorder="1"/>
    <xf numFmtId="3" fontId="82" fillId="0" borderId="128" xfId="91" applyNumberFormat="1" applyFont="1" applyBorder="1" applyAlignment="1">
      <alignment horizontal="center"/>
    </xf>
    <xf numFmtId="0" fontId="82" fillId="0" borderId="22" xfId="91" applyFont="1" applyBorder="1"/>
    <xf numFmtId="3" fontId="82" fillId="0" borderId="22" xfId="91" applyNumberFormat="1" applyFont="1" applyBorder="1"/>
    <xf numFmtId="3" fontId="82" fillId="0" borderId="80" xfId="91" applyNumberFormat="1" applyFont="1" applyBorder="1"/>
    <xf numFmtId="0" fontId="82" fillId="0" borderId="86" xfId="91" applyFont="1" applyBorder="1"/>
    <xf numFmtId="3" fontId="82" fillId="0" borderId="31" xfId="91" applyNumberFormat="1" applyFont="1" applyBorder="1" applyAlignment="1">
      <alignment horizontal="center"/>
    </xf>
    <xf numFmtId="3" fontId="81" fillId="0" borderId="86" xfId="91" applyNumberFormat="1" applyFont="1" applyBorder="1"/>
    <xf numFmtId="0" fontId="81" fillId="0" borderId="47" xfId="91" applyFont="1" applyBorder="1"/>
    <xf numFmtId="3" fontId="81" fillId="0" borderId="31" xfId="91" applyNumberFormat="1" applyFont="1" applyBorder="1" applyAlignment="1">
      <alignment horizontal="right"/>
    </xf>
    <xf numFmtId="0" fontId="81" fillId="0" borderId="18" xfId="91" applyFont="1" applyBorder="1" applyAlignment="1">
      <alignment horizontal="left"/>
    </xf>
    <xf numFmtId="3" fontId="82" fillId="0" borderId="128" xfId="91" applyNumberFormat="1" applyFont="1" applyBorder="1" applyAlignment="1">
      <alignment horizontal="right"/>
    </xf>
    <xf numFmtId="0" fontId="81" fillId="0" borderId="0" xfId="91" applyFont="1" applyAlignment="1">
      <alignment horizontal="right"/>
    </xf>
    <xf numFmtId="0" fontId="82" fillId="0" borderId="23" xfId="91" applyFont="1" applyBorder="1"/>
    <xf numFmtId="3" fontId="81" fillId="0" borderId="63" xfId="91" applyNumberFormat="1" applyFont="1" applyBorder="1" applyAlignment="1">
      <alignment horizontal="right"/>
    </xf>
    <xf numFmtId="0" fontId="81" fillId="0" borderId="46" xfId="91" applyFont="1" applyBorder="1"/>
    <xf numFmtId="3" fontId="81" fillId="0" borderId="46" xfId="91" applyNumberFormat="1" applyFont="1" applyBorder="1"/>
    <xf numFmtId="0" fontId="81" fillId="0" borderId="53" xfId="91" applyFont="1" applyBorder="1"/>
    <xf numFmtId="0" fontId="84" fillId="0" borderId="18" xfId="91" applyFont="1" applyBorder="1"/>
    <xf numFmtId="0" fontId="81" fillId="0" borderId="29" xfId="91" applyFont="1" applyBorder="1"/>
    <xf numFmtId="0" fontId="82" fillId="0" borderId="0" xfId="77" applyFont="1"/>
    <xf numFmtId="0" fontId="81" fillId="0" borderId="0" xfId="91" applyFont="1" applyAlignment="1">
      <alignment wrapText="1"/>
    </xf>
    <xf numFmtId="3" fontId="82" fillId="0" borderId="53" xfId="91" applyNumberFormat="1" applyFont="1" applyBorder="1"/>
    <xf numFmtId="3" fontId="82" fillId="0" borderId="86" xfId="91" applyNumberFormat="1" applyFont="1" applyBorder="1"/>
    <xf numFmtId="0" fontId="84" fillId="0" borderId="98" xfId="91" applyFont="1" applyBorder="1"/>
    <xf numFmtId="3" fontId="81" fillId="0" borderId="141" xfId="91" applyNumberFormat="1" applyFont="1" applyBorder="1" applyAlignment="1">
      <alignment horizontal="right"/>
    </xf>
    <xf numFmtId="0" fontId="82" fillId="0" borderId="91" xfId="77" applyFont="1" applyBorder="1"/>
    <xf numFmtId="3" fontId="82" fillId="0" borderId="91" xfId="91" applyNumberFormat="1" applyFont="1" applyBorder="1"/>
    <xf numFmtId="3" fontId="82" fillId="0" borderId="100" xfId="91" applyNumberFormat="1" applyFont="1" applyBorder="1"/>
    <xf numFmtId="0" fontId="82" fillId="0" borderId="19" xfId="91" applyFont="1" applyBorder="1"/>
    <xf numFmtId="3" fontId="82" fillId="0" borderId="99" xfId="91" applyNumberFormat="1" applyFont="1" applyBorder="1" applyAlignment="1">
      <alignment horizontal="right"/>
    </xf>
    <xf numFmtId="0" fontId="82" fillId="0" borderId="16" xfId="91" applyFont="1" applyBorder="1"/>
    <xf numFmtId="3" fontId="82" fillId="0" borderId="16" xfId="91" applyNumberFormat="1" applyFont="1" applyBorder="1"/>
    <xf numFmtId="3" fontId="82" fillId="0" borderId="84" xfId="91" applyNumberFormat="1" applyFont="1" applyBorder="1"/>
    <xf numFmtId="3" fontId="161" fillId="0" borderId="31" xfId="77" applyNumberFormat="1" applyFont="1" applyBorder="1"/>
    <xf numFmtId="3" fontId="161" fillId="0" borderId="0" xfId="91" applyNumberFormat="1" applyFont="1"/>
    <xf numFmtId="3" fontId="81" fillId="29" borderId="0" xfId="91" applyNumberFormat="1" applyFont="1" applyFill="1"/>
    <xf numFmtId="0" fontId="110" fillId="0" borderId="0" xfId="92" applyFont="1"/>
    <xf numFmtId="0" fontId="109" fillId="0" borderId="0" xfId="92" applyFont="1"/>
    <xf numFmtId="3" fontId="110" fillId="0" borderId="0" xfId="92" applyNumberFormat="1" applyFont="1"/>
    <xf numFmtId="3" fontId="109" fillId="0" borderId="0" xfId="92" applyNumberFormat="1" applyFont="1"/>
    <xf numFmtId="0" fontId="110" fillId="0" borderId="0" xfId="92" applyFont="1" applyAlignment="1">
      <alignment horizontal="right"/>
    </xf>
    <xf numFmtId="0" fontId="16" fillId="0" borderId="0" xfId="93" applyFont="1" applyAlignment="1">
      <alignment horizontal="center"/>
    </xf>
    <xf numFmtId="0" fontId="58" fillId="0" borderId="0" xfId="93" applyFont="1" applyAlignment="1">
      <alignment horizontal="center"/>
    </xf>
    <xf numFmtId="3" fontId="110" fillId="0" borderId="0" xfId="94" applyNumberFormat="1" applyFont="1" applyAlignment="1">
      <alignment horizontal="center"/>
    </xf>
    <xf numFmtId="3" fontId="110" fillId="0" borderId="0" xfId="94" applyNumberFormat="1" applyFont="1"/>
    <xf numFmtId="3" fontId="109" fillId="0" borderId="20" xfId="94" applyNumberFormat="1" applyFont="1" applyBorder="1"/>
    <xf numFmtId="3" fontId="110" fillId="0" borderId="93" xfId="94" applyNumberFormat="1" applyFont="1" applyBorder="1"/>
    <xf numFmtId="3" fontId="109" fillId="0" borderId="20" xfId="94" applyNumberFormat="1" applyFont="1" applyBorder="1" applyAlignment="1">
      <alignment horizontal="center"/>
    </xf>
    <xf numFmtId="3" fontId="109" fillId="0" borderId="93" xfId="94" applyNumberFormat="1" applyFont="1" applyBorder="1" applyAlignment="1">
      <alignment horizontal="center"/>
    </xf>
    <xf numFmtId="3" fontId="110" fillId="0" borderId="20" xfId="94" applyNumberFormat="1" applyFont="1" applyBorder="1" applyAlignment="1">
      <alignment horizontal="center"/>
    </xf>
    <xf numFmtId="3" fontId="109" fillId="0" borderId="21" xfId="94" applyNumberFormat="1" applyFont="1" applyBorder="1" applyAlignment="1">
      <alignment horizontal="center"/>
    </xf>
    <xf numFmtId="3" fontId="109" fillId="0" borderId="60" xfId="94" applyNumberFormat="1" applyFont="1" applyBorder="1" applyAlignment="1">
      <alignment horizontal="center"/>
    </xf>
    <xf numFmtId="3" fontId="160" fillId="0" borderId="19" xfId="94" applyNumberFormat="1" applyFont="1" applyBorder="1" applyAlignment="1">
      <alignment horizontal="center"/>
    </xf>
    <xf numFmtId="3" fontId="160" fillId="0" borderId="16" xfId="94" applyNumberFormat="1" applyFont="1" applyBorder="1"/>
    <xf numFmtId="3" fontId="109" fillId="0" borderId="61" xfId="94" applyNumberFormat="1" applyFont="1" applyBorder="1" applyAlignment="1">
      <alignment horizontal="center"/>
    </xf>
    <xf numFmtId="3" fontId="109" fillId="0" borderId="28" xfId="94" applyNumberFormat="1" applyFont="1" applyBorder="1" applyAlignment="1">
      <alignment horizontal="center"/>
    </xf>
    <xf numFmtId="3" fontId="109" fillId="0" borderId="93" xfId="94" applyNumberFormat="1" applyFont="1" applyBorder="1"/>
    <xf numFmtId="3" fontId="109" fillId="0" borderId="21" xfId="94" applyNumberFormat="1" applyFont="1" applyBorder="1"/>
    <xf numFmtId="3" fontId="109" fillId="0" borderId="60" xfId="94" applyNumberFormat="1" applyFont="1" applyBorder="1"/>
    <xf numFmtId="3" fontId="109" fillId="0" borderId="18" xfId="94" applyNumberFormat="1" applyFont="1" applyBorder="1" applyAlignment="1">
      <alignment horizontal="center"/>
    </xf>
    <xf numFmtId="3" fontId="109" fillId="0" borderId="0" xfId="94" applyNumberFormat="1" applyFont="1"/>
    <xf numFmtId="3" fontId="109" fillId="0" borderId="15" xfId="94" applyNumberFormat="1" applyFont="1" applyBorder="1"/>
    <xf numFmtId="3" fontId="109" fillId="0" borderId="59" xfId="94" applyNumberFormat="1" applyFont="1" applyBorder="1"/>
    <xf numFmtId="3" fontId="110" fillId="0" borderId="40" xfId="94" applyNumberFormat="1" applyFont="1" applyBorder="1" applyAlignment="1">
      <alignment horizontal="center"/>
    </xf>
    <xf numFmtId="3" fontId="110" fillId="0" borderId="37" xfId="94" applyNumberFormat="1" applyFont="1" applyBorder="1"/>
    <xf numFmtId="3" fontId="110" fillId="0" borderId="36" xfId="94" applyNumberFormat="1" applyFont="1" applyBorder="1"/>
    <xf numFmtId="3" fontId="110" fillId="0" borderId="68" xfId="94" applyNumberFormat="1" applyFont="1" applyBorder="1"/>
    <xf numFmtId="3" fontId="110" fillId="0" borderId="18" xfId="94" applyNumberFormat="1" applyFont="1" applyBorder="1" applyAlignment="1">
      <alignment horizontal="center"/>
    </xf>
    <xf numFmtId="3" fontId="110" fillId="0" borderId="15" xfId="94" applyNumberFormat="1" applyFont="1" applyBorder="1"/>
    <xf numFmtId="3" fontId="110" fillId="0" borderId="59" xfId="94" applyNumberFormat="1" applyFont="1" applyBorder="1"/>
    <xf numFmtId="3" fontId="109" fillId="0" borderId="40" xfId="94" applyNumberFormat="1" applyFont="1" applyBorder="1" applyAlignment="1">
      <alignment horizontal="center"/>
    </xf>
    <xf numFmtId="3" fontId="109" fillId="0" borderId="37" xfId="94" applyNumberFormat="1" applyFont="1" applyBorder="1"/>
    <xf numFmtId="3" fontId="109" fillId="0" borderId="36" xfId="94" applyNumberFormat="1" applyFont="1" applyBorder="1"/>
    <xf numFmtId="3" fontId="109" fillId="0" borderId="68" xfId="94" applyNumberFormat="1" applyFont="1" applyBorder="1"/>
    <xf numFmtId="3" fontId="110" fillId="0" borderId="132" xfId="94" applyNumberFormat="1" applyFont="1" applyBorder="1"/>
    <xf numFmtId="3" fontId="109" fillId="0" borderId="81" xfId="94" applyNumberFormat="1" applyFont="1" applyBorder="1"/>
    <xf numFmtId="3" fontId="160" fillId="0" borderId="37" xfId="94" applyNumberFormat="1" applyFont="1" applyBorder="1"/>
    <xf numFmtId="3" fontId="160" fillId="0" borderId="36" xfId="94" applyNumberFormat="1" applyFont="1" applyBorder="1"/>
    <xf numFmtId="3" fontId="160" fillId="0" borderId="68" xfId="94" applyNumberFormat="1" applyFont="1" applyBorder="1"/>
    <xf numFmtId="3" fontId="110" fillId="0" borderId="37" xfId="94" applyNumberFormat="1" applyFont="1" applyBorder="1" applyAlignment="1">
      <alignment horizontal="center"/>
    </xf>
    <xf numFmtId="3" fontId="110" fillId="0" borderId="0" xfId="94" applyNumberFormat="1" applyFont="1" applyAlignment="1">
      <alignment horizontal="center" vertical="center"/>
    </xf>
    <xf numFmtId="3" fontId="110" fillId="0" borderId="0" xfId="94" applyNumberFormat="1" applyFont="1" applyAlignment="1">
      <alignment wrapText="1"/>
    </xf>
    <xf numFmtId="3" fontId="110" fillId="29" borderId="36" xfId="94" applyNumberFormat="1" applyFont="1" applyFill="1" applyBorder="1"/>
    <xf numFmtId="3" fontId="110" fillId="29" borderId="37" xfId="94" applyNumberFormat="1" applyFont="1" applyFill="1" applyBorder="1"/>
    <xf numFmtId="3" fontId="110" fillId="29" borderId="68" xfId="94" applyNumberFormat="1" applyFont="1" applyFill="1" applyBorder="1"/>
    <xf numFmtId="3" fontId="111" fillId="0" borderId="37" xfId="94" applyNumberFormat="1" applyFont="1" applyBorder="1"/>
    <xf numFmtId="3" fontId="110" fillId="0" borderId="41" xfId="94" applyNumberFormat="1" applyFont="1" applyBorder="1" applyAlignment="1">
      <alignment horizontal="center"/>
    </xf>
    <xf numFmtId="3" fontId="110" fillId="0" borderId="95" xfId="94" applyNumberFormat="1" applyFont="1" applyBorder="1"/>
    <xf numFmtId="3" fontId="110" fillId="0" borderId="64" xfId="94" applyNumberFormat="1" applyFont="1" applyBorder="1"/>
    <xf numFmtId="3" fontId="109" fillId="0" borderId="111" xfId="94" applyNumberFormat="1" applyFont="1" applyBorder="1" applyAlignment="1">
      <alignment horizontal="center"/>
    </xf>
    <xf numFmtId="3" fontId="109" fillId="0" borderId="112" xfId="94" applyNumberFormat="1" applyFont="1" applyBorder="1"/>
    <xf numFmtId="3" fontId="109" fillId="0" borderId="113" xfId="94" applyNumberFormat="1" applyFont="1" applyBorder="1"/>
    <xf numFmtId="3" fontId="109" fillId="0" borderId="114" xfId="94" applyNumberFormat="1" applyFont="1" applyBorder="1"/>
    <xf numFmtId="3" fontId="110" fillId="0" borderId="37" xfId="95" applyNumberFormat="1" applyFont="1" applyBorder="1"/>
    <xf numFmtId="3" fontId="110" fillId="0" borderId="36" xfId="95" applyNumberFormat="1" applyFont="1" applyBorder="1"/>
    <xf numFmtId="3" fontId="109" fillId="0" borderId="41" xfId="94" applyNumberFormat="1" applyFont="1" applyBorder="1" applyAlignment="1">
      <alignment horizontal="center"/>
    </xf>
    <xf numFmtId="3" fontId="109" fillId="0" borderId="95" xfId="94" applyNumberFormat="1" applyFont="1" applyBorder="1"/>
    <xf numFmtId="3" fontId="109" fillId="0" borderId="95" xfId="95" applyNumberFormat="1" applyFont="1" applyBorder="1"/>
    <xf numFmtId="3" fontId="109" fillId="0" borderId="64" xfId="95" applyNumberFormat="1" applyFont="1" applyBorder="1"/>
    <xf numFmtId="3" fontId="109" fillId="0" borderId="109" xfId="94" applyNumberFormat="1" applyFont="1" applyBorder="1"/>
    <xf numFmtId="3" fontId="109" fillId="0" borderId="19" xfId="94" applyNumberFormat="1" applyFont="1" applyBorder="1" applyAlignment="1">
      <alignment horizontal="center"/>
    </xf>
    <xf numFmtId="3" fontId="109" fillId="0" borderId="16" xfId="94" applyNumberFormat="1" applyFont="1" applyBorder="1"/>
    <xf numFmtId="3" fontId="109" fillId="0" borderId="16" xfId="95" applyNumberFormat="1" applyFont="1" applyBorder="1"/>
    <xf numFmtId="3" fontId="109" fillId="0" borderId="61" xfId="95" applyNumberFormat="1" applyFont="1" applyBorder="1"/>
    <xf numFmtId="3" fontId="109" fillId="0" borderId="28" xfId="94" applyNumberFormat="1" applyFont="1" applyBorder="1"/>
    <xf numFmtId="3" fontId="110" fillId="0" borderId="0" xfId="95" applyNumberFormat="1" applyFont="1"/>
    <xf numFmtId="3" fontId="110" fillId="0" borderId="15" xfId="95" applyNumberFormat="1" applyFont="1" applyBorder="1"/>
    <xf numFmtId="3" fontId="109" fillId="0" borderId="93" xfId="95" applyNumberFormat="1" applyFont="1" applyBorder="1"/>
    <xf numFmtId="3" fontId="109" fillId="0" borderId="21" xfId="95" applyNumberFormat="1" applyFont="1" applyBorder="1"/>
    <xf numFmtId="3" fontId="109" fillId="0" borderId="60" xfId="95" applyNumberFormat="1" applyFont="1" applyBorder="1"/>
    <xf numFmtId="3" fontId="157" fillId="0" borderId="0" xfId="95" applyNumberFormat="1" applyFont="1"/>
    <xf numFmtId="3" fontId="113" fillId="0" borderId="21" xfId="95" applyNumberFormat="1" applyFont="1" applyBorder="1"/>
    <xf numFmtId="3" fontId="113" fillId="0" borderId="93" xfId="95" applyNumberFormat="1" applyFont="1" applyBorder="1"/>
    <xf numFmtId="3" fontId="162" fillId="0" borderId="15" xfId="95" applyNumberFormat="1" applyFont="1" applyBorder="1"/>
    <xf numFmtId="3" fontId="162" fillId="0" borderId="0" xfId="95" applyNumberFormat="1" applyFont="1"/>
    <xf numFmtId="3" fontId="162" fillId="0" borderId="36" xfId="95" applyNumberFormat="1" applyFont="1" applyBorder="1"/>
    <xf numFmtId="3" fontId="162" fillId="0" borderId="37" xfId="95" applyNumberFormat="1" applyFont="1" applyBorder="1"/>
    <xf numFmtId="3" fontId="162" fillId="0" borderId="59" xfId="94" applyNumberFormat="1" applyFont="1" applyBorder="1"/>
    <xf numFmtId="3" fontId="110" fillId="0" borderId="59" xfId="94" applyNumberFormat="1" applyFont="1" applyBorder="1" applyAlignment="1">
      <alignment horizontal="right"/>
    </xf>
    <xf numFmtId="3" fontId="110" fillId="0" borderId="68" xfId="94" applyNumberFormat="1" applyFont="1" applyBorder="1" applyAlignment="1">
      <alignment horizontal="right"/>
    </xf>
    <xf numFmtId="3" fontId="110" fillId="0" borderId="23" xfId="94" applyNumberFormat="1" applyFont="1" applyBorder="1" applyAlignment="1">
      <alignment horizontal="center"/>
    </xf>
    <xf numFmtId="3" fontId="110" fillId="0" borderId="46" xfId="94" applyNumberFormat="1" applyFont="1" applyBorder="1"/>
    <xf numFmtId="3" fontId="110" fillId="0" borderId="46" xfId="95" applyNumberFormat="1" applyFont="1" applyBorder="1"/>
    <xf numFmtId="3" fontId="162" fillId="0" borderId="45" xfId="95" applyNumberFormat="1" applyFont="1" applyBorder="1"/>
    <xf numFmtId="3" fontId="162" fillId="0" borderId="46" xfId="95" applyNumberFormat="1" applyFont="1" applyBorder="1"/>
    <xf numFmtId="3" fontId="162" fillId="0" borderId="27" xfId="94" applyNumberFormat="1" applyFont="1" applyBorder="1"/>
    <xf numFmtId="3" fontId="109" fillId="0" borderId="18" xfId="94" applyNumberFormat="1" applyFont="1" applyBorder="1"/>
    <xf numFmtId="3" fontId="113" fillId="0" borderId="15" xfId="94" applyNumberFormat="1" applyFont="1" applyBorder="1"/>
    <xf numFmtId="3" fontId="113" fillId="0" borderId="0" xfId="94" applyNumberFormat="1" applyFont="1"/>
    <xf numFmtId="3" fontId="113" fillId="0" borderId="59" xfId="94" applyNumberFormat="1" applyFont="1" applyBorder="1"/>
    <xf numFmtId="3" fontId="162" fillId="0" borderId="15" xfId="94" applyNumberFormat="1" applyFont="1" applyBorder="1"/>
    <xf numFmtId="3" fontId="162" fillId="0" borderId="0" xfId="94" applyNumberFormat="1" applyFont="1"/>
    <xf numFmtId="3" fontId="113" fillId="0" borderId="67" xfId="94" applyNumberFormat="1" applyFont="1" applyBorder="1"/>
    <xf numFmtId="3" fontId="113" fillId="0" borderId="36" xfId="94" applyNumberFormat="1" applyFont="1" applyBorder="1"/>
    <xf numFmtId="3" fontId="162" fillId="0" borderId="68" xfId="94" applyNumberFormat="1" applyFont="1" applyBorder="1"/>
    <xf numFmtId="3" fontId="162" fillId="0" borderId="36" xfId="94" applyNumberFormat="1" applyFont="1" applyBorder="1"/>
    <xf numFmtId="3" fontId="109" fillId="0" borderId="40" xfId="94" applyNumberFormat="1" applyFont="1" applyBorder="1"/>
    <xf numFmtId="3" fontId="113" fillId="0" borderId="61" xfId="94" applyNumberFormat="1" applyFont="1" applyBorder="1"/>
    <xf numFmtId="3" fontId="113" fillId="0" borderId="16" xfId="94" applyNumberFormat="1" applyFont="1" applyBorder="1"/>
    <xf numFmtId="3" fontId="113" fillId="0" borderId="28" xfId="94" applyNumberFormat="1" applyFont="1" applyBorder="1"/>
    <xf numFmtId="0" fontId="163" fillId="0" borderId="0" xfId="101" applyFont="1"/>
    <xf numFmtId="0" fontId="81" fillId="0" borderId="0" xfId="101" applyFont="1"/>
    <xf numFmtId="3" fontId="81" fillId="0" borderId="0" xfId="101" applyNumberFormat="1" applyFont="1"/>
    <xf numFmtId="3" fontId="163" fillId="0" borderId="0" xfId="101" applyNumberFormat="1" applyFont="1"/>
    <xf numFmtId="0" fontId="82" fillId="0" borderId="0" xfId="101" applyFont="1"/>
    <xf numFmtId="0" fontId="164" fillId="0" borderId="0" xfId="101" applyFont="1"/>
    <xf numFmtId="3" fontId="82" fillId="0" borderId="0" xfId="101" applyNumberFormat="1" applyFont="1"/>
    <xf numFmtId="0" fontId="81" fillId="0" borderId="0" xfId="101" applyFont="1" applyAlignment="1">
      <alignment horizontal="right"/>
    </xf>
    <xf numFmtId="0" fontId="82" fillId="0" borderId="83" xfId="101" applyFont="1" applyBorder="1" applyAlignment="1">
      <alignment horizontal="center" vertical="center"/>
    </xf>
    <xf numFmtId="3" fontId="82" fillId="0" borderId="23" xfId="101" applyNumberFormat="1" applyFont="1" applyBorder="1" applyAlignment="1">
      <alignment horizontal="center" vertical="center"/>
    </xf>
    <xf numFmtId="0" fontId="82" fillId="0" borderId="18" xfId="101" applyFont="1" applyBorder="1" applyAlignment="1">
      <alignment horizontal="center" vertical="center"/>
    </xf>
    <xf numFmtId="3" fontId="82" fillId="0" borderId="18" xfId="101" applyNumberFormat="1" applyFont="1" applyBorder="1" applyAlignment="1">
      <alignment horizontal="center" vertical="center"/>
    </xf>
    <xf numFmtId="0" fontId="82" fillId="0" borderId="44" xfId="101" applyFont="1" applyBorder="1" applyAlignment="1">
      <alignment horizontal="center" vertical="center" wrapText="1"/>
    </xf>
    <xf numFmtId="0" fontId="82" fillId="0" borderId="54" xfId="101" applyFont="1" applyBorder="1" applyAlignment="1">
      <alignment horizontal="center" vertical="center" wrapText="1"/>
    </xf>
    <xf numFmtId="3" fontId="82" fillId="0" borderId="19" xfId="101" applyNumberFormat="1" applyFont="1" applyBorder="1" applyAlignment="1">
      <alignment horizontal="center" vertical="center"/>
    </xf>
    <xf numFmtId="0" fontId="82" fillId="0" borderId="70" xfId="101" applyFont="1" applyBorder="1" applyAlignment="1">
      <alignment horizontal="center" vertical="center"/>
    </xf>
    <xf numFmtId="0" fontId="81" fillId="0" borderId="26" xfId="101" applyFont="1" applyBorder="1"/>
    <xf numFmtId="0" fontId="81" fillId="0" borderId="24" xfId="101" applyFont="1" applyBorder="1"/>
    <xf numFmtId="0" fontId="81" fillId="0" borderId="134" xfId="101" applyFont="1" applyBorder="1"/>
    <xf numFmtId="3" fontId="81" fillId="0" borderId="32" xfId="101" applyNumberFormat="1" applyFont="1" applyBorder="1"/>
    <xf numFmtId="2" fontId="81" fillId="0" borderId="49" xfId="101" applyNumberFormat="1" applyFont="1" applyBorder="1"/>
    <xf numFmtId="3" fontId="81" fillId="0" borderId="58" xfId="101" applyNumberFormat="1" applyFont="1" applyBorder="1"/>
    <xf numFmtId="3" fontId="81" fillId="0" borderId="26" xfId="101" applyNumberFormat="1" applyFont="1" applyBorder="1"/>
    <xf numFmtId="3" fontId="81" fillId="0" borderId="139" xfId="101" applyNumberFormat="1" applyFont="1" applyBorder="1"/>
    <xf numFmtId="3" fontId="81" fillId="0" borderId="78" xfId="101" applyNumberFormat="1" applyFont="1" applyBorder="1"/>
    <xf numFmtId="0" fontId="81" fillId="0" borderId="40" xfId="101" applyFont="1" applyBorder="1"/>
    <xf numFmtId="0" fontId="81" fillId="0" borderId="57" xfId="101" applyFont="1" applyBorder="1"/>
    <xf numFmtId="0" fontId="81" fillId="0" borderId="104" xfId="101" applyFont="1" applyBorder="1"/>
    <xf numFmtId="0" fontId="81" fillId="0" borderId="142" xfId="101" applyFont="1" applyBorder="1"/>
    <xf numFmtId="3" fontId="81" fillId="0" borderId="55" xfId="101" applyNumberFormat="1" applyFont="1" applyBorder="1"/>
    <xf numFmtId="2" fontId="81" fillId="0" borderId="82" xfId="101" applyNumberFormat="1" applyFont="1" applyBorder="1"/>
    <xf numFmtId="3" fontId="81" fillId="0" borderId="56" xfId="101" applyNumberFormat="1" applyFont="1" applyBorder="1"/>
    <xf numFmtId="3" fontId="81" fillId="0" borderId="57" xfId="101" applyNumberFormat="1" applyFont="1" applyBorder="1"/>
    <xf numFmtId="3" fontId="81" fillId="0" borderId="89" xfId="101" applyNumberFormat="1" applyFont="1" applyBorder="1"/>
    <xf numFmtId="3" fontId="81" fillId="0" borderId="24" xfId="101" applyNumberFormat="1" applyFont="1" applyBorder="1"/>
    <xf numFmtId="0" fontId="82" fillId="0" borderId="26" xfId="101" applyFont="1" applyBorder="1" applyAlignment="1">
      <alignment horizontal="left"/>
    </xf>
    <xf numFmtId="3" fontId="82" fillId="0" borderId="58" xfId="101" applyNumberFormat="1" applyFont="1" applyBorder="1"/>
    <xf numFmtId="3" fontId="82" fillId="0" borderId="24" xfId="101" applyNumberFormat="1" applyFont="1" applyBorder="1"/>
    <xf numFmtId="3" fontId="82" fillId="0" borderId="78" xfId="101" applyNumberFormat="1" applyFont="1" applyBorder="1"/>
    <xf numFmtId="3" fontId="82" fillId="0" borderId="88" xfId="101" applyNumberFormat="1" applyFont="1" applyBorder="1"/>
    <xf numFmtId="0" fontId="81" fillId="0" borderId="98" xfId="101" applyFont="1" applyBorder="1"/>
    <xf numFmtId="0" fontId="81" fillId="0" borderId="91" xfId="101" applyFont="1" applyBorder="1"/>
    <xf numFmtId="0" fontId="81" fillId="0" borderId="141" xfId="101" applyFont="1" applyBorder="1"/>
    <xf numFmtId="3" fontId="81" fillId="0" borderId="101" xfId="101" applyNumberFormat="1" applyFont="1" applyBorder="1"/>
    <xf numFmtId="2" fontId="81" fillId="0" borderId="135" xfId="101" applyNumberFormat="1" applyFont="1" applyBorder="1"/>
    <xf numFmtId="3" fontId="81" fillId="0" borderId="137" xfId="101" applyNumberFormat="1" applyFont="1" applyBorder="1"/>
    <xf numFmtId="3" fontId="81" fillId="0" borderId="98" xfId="101" applyNumberFormat="1" applyFont="1" applyBorder="1"/>
    <xf numFmtId="3" fontId="81" fillId="0" borderId="115" xfId="101" applyNumberFormat="1" applyFont="1" applyBorder="1"/>
    <xf numFmtId="0" fontId="81" fillId="0" borderId="30" xfId="101" applyFont="1" applyBorder="1"/>
    <xf numFmtId="3" fontId="164" fillId="0" borderId="32" xfId="101" applyNumberFormat="1" applyFont="1" applyBorder="1"/>
    <xf numFmtId="0" fontId="82" fillId="0" borderId="26" xfId="101" applyFont="1" applyBorder="1"/>
    <xf numFmtId="0" fontId="81" fillId="0" borderId="49" xfId="101" applyFont="1" applyBorder="1"/>
    <xf numFmtId="164" fontId="81" fillId="0" borderId="82" xfId="101" applyNumberFormat="1" applyFont="1" applyBorder="1"/>
    <xf numFmtId="0" fontId="82" fillId="0" borderId="17" xfId="101" applyFont="1" applyBorder="1"/>
    <xf numFmtId="0" fontId="82" fillId="0" borderId="22" xfId="101" applyFont="1" applyBorder="1"/>
    <xf numFmtId="165" fontId="82" fillId="0" borderId="44" xfId="101" applyNumberFormat="1" applyFont="1" applyBorder="1"/>
    <xf numFmtId="3" fontId="82" fillId="0" borderId="54" xfId="101" applyNumberFormat="1" applyFont="1" applyBorder="1"/>
    <xf numFmtId="3" fontId="82" fillId="0" borderId="44" xfId="101" applyNumberFormat="1" applyFont="1" applyBorder="1"/>
    <xf numFmtId="3" fontId="82" fillId="0" borderId="76" xfId="101" applyNumberFormat="1" applyFont="1" applyBorder="1"/>
    <xf numFmtId="3" fontId="82" fillId="0" borderId="80" xfId="101" applyNumberFormat="1" applyFont="1" applyBorder="1"/>
    <xf numFmtId="0" fontId="82" fillId="0" borderId="20" xfId="101" applyFont="1" applyBorder="1"/>
    <xf numFmtId="0" fontId="81" fillId="0" borderId="93" xfId="101" applyFont="1" applyBorder="1"/>
    <xf numFmtId="3" fontId="81" fillId="0" borderId="93" xfId="101" applyNumberFormat="1" applyFont="1" applyBorder="1"/>
    <xf numFmtId="2" fontId="81" fillId="0" borderId="93" xfId="101" applyNumberFormat="1" applyFont="1" applyBorder="1"/>
    <xf numFmtId="3" fontId="82" fillId="0" borderId="60" xfId="101" applyNumberFormat="1" applyFont="1" applyBorder="1"/>
    <xf numFmtId="3" fontId="82" fillId="0" borderId="93" xfId="101" applyNumberFormat="1" applyFont="1" applyBorder="1"/>
    <xf numFmtId="3" fontId="82" fillId="0" borderId="77" xfId="101" applyNumberFormat="1" applyFont="1" applyBorder="1"/>
    <xf numFmtId="3" fontId="82" fillId="0" borderId="81" xfId="101" applyNumberFormat="1" applyFont="1" applyBorder="1"/>
    <xf numFmtId="0" fontId="165" fillId="0" borderId="0" xfId="98" applyFont="1"/>
    <xf numFmtId="0" fontId="165" fillId="0" borderId="0" xfId="98" applyFont="1" applyAlignment="1">
      <alignment horizontal="right"/>
    </xf>
    <xf numFmtId="0" fontId="112" fillId="0" borderId="94" xfId="98" applyFont="1" applyBorder="1" applyAlignment="1">
      <alignment horizontal="center" vertical="center"/>
    </xf>
    <xf numFmtId="0" fontId="112" fillId="0" borderId="61" xfId="98" applyFont="1" applyBorder="1" applyAlignment="1">
      <alignment horizontal="center" vertical="center"/>
    </xf>
    <xf numFmtId="0" fontId="112" fillId="0" borderId="28" xfId="98" applyFont="1" applyBorder="1" applyAlignment="1">
      <alignment horizontal="center" vertical="center"/>
    </xf>
    <xf numFmtId="0" fontId="112" fillId="0" borderId="78" xfId="98" applyFont="1" applyBorder="1"/>
    <xf numFmtId="3" fontId="111" fillId="0" borderId="127" xfId="98" applyNumberFormat="1" applyFont="1" applyBorder="1"/>
    <xf numFmtId="3" fontId="111" fillId="0" borderId="32" xfId="98" applyNumberFormat="1" applyFont="1" applyBorder="1"/>
    <xf numFmtId="3" fontId="111" fillId="0" borderId="58" xfId="98" applyNumberFormat="1" applyFont="1" applyBorder="1"/>
    <xf numFmtId="0" fontId="112" fillId="0" borderId="89" xfId="98" applyFont="1" applyBorder="1"/>
    <xf numFmtId="3" fontId="111" fillId="0" borderId="138" xfId="98" applyNumberFormat="1" applyFont="1" applyBorder="1"/>
    <xf numFmtId="3" fontId="111" fillId="0" borderId="55" xfId="98" applyNumberFormat="1" applyFont="1" applyBorder="1"/>
    <xf numFmtId="3" fontId="111" fillId="0" borderId="56" xfId="98" applyNumberFormat="1" applyFont="1" applyBorder="1"/>
    <xf numFmtId="0" fontId="112" fillId="0" borderId="77" xfId="98" applyFont="1" applyBorder="1" applyAlignment="1">
      <alignment horizontal="left" vertical="center" wrapText="1"/>
    </xf>
    <xf numFmtId="3" fontId="112" fillId="0" borderId="103" xfId="98" applyNumberFormat="1" applyFont="1" applyBorder="1" applyAlignment="1">
      <alignment horizontal="right" vertical="center"/>
    </xf>
    <xf numFmtId="3" fontId="112" fillId="0" borderId="21" xfId="98" applyNumberFormat="1" applyFont="1" applyBorder="1" applyAlignment="1">
      <alignment horizontal="right" vertical="center"/>
    </xf>
    <xf numFmtId="3" fontId="112" fillId="0" borderId="60" xfId="98" applyNumberFormat="1" applyFont="1" applyBorder="1" applyAlignment="1">
      <alignment horizontal="right" vertical="center"/>
    </xf>
    <xf numFmtId="3" fontId="84" fillId="0" borderId="16" xfId="0" applyNumberFormat="1" applyFont="1" applyBorder="1" applyAlignment="1">
      <alignment horizontal="left"/>
    </xf>
    <xf numFmtId="3" fontId="85" fillId="0" borderId="0" xfId="0" applyNumberFormat="1" applyFont="1" applyAlignment="1">
      <alignment horizontal="right"/>
    </xf>
    <xf numFmtId="0" fontId="82" fillId="0" borderId="25" xfId="0" applyFont="1" applyBorder="1" applyAlignment="1">
      <alignment horizontal="center"/>
    </xf>
    <xf numFmtId="0" fontId="82" fillId="0" borderId="94" xfId="0" applyFont="1" applyBorder="1" applyAlignment="1">
      <alignment horizontal="center"/>
    </xf>
    <xf numFmtId="0" fontId="81" fillId="28" borderId="108" xfId="0" applyFont="1" applyFill="1" applyBorder="1"/>
    <xf numFmtId="0" fontId="81" fillId="28" borderId="40" xfId="0" applyFont="1" applyFill="1" applyBorder="1"/>
    <xf numFmtId="0" fontId="82" fillId="0" borderId="17" xfId="0" applyFont="1" applyBorder="1"/>
    <xf numFmtId="0" fontId="81" fillId="28" borderId="96" xfId="0" applyFont="1" applyFill="1" applyBorder="1" applyAlignment="1">
      <alignment horizontal="left"/>
    </xf>
    <xf numFmtId="0" fontId="81" fillId="0" borderId="105" xfId="0" applyFont="1" applyBorder="1" applyAlignment="1">
      <alignment horizontal="left" wrapText="1"/>
    </xf>
    <xf numFmtId="0" fontId="81" fillId="0" borderId="38" xfId="0" applyFont="1" applyBorder="1" applyAlignment="1">
      <alignment horizontal="left" wrapText="1"/>
    </xf>
    <xf numFmtId="0" fontId="81" fillId="28" borderId="40" xfId="0" applyFont="1" applyFill="1" applyBorder="1" applyAlignment="1">
      <alignment wrapText="1"/>
    </xf>
    <xf numFmtId="0" fontId="81" fillId="0" borderId="42" xfId="0" applyFont="1" applyBorder="1" applyAlignment="1">
      <alignment horizontal="left"/>
    </xf>
    <xf numFmtId="0" fontId="81" fillId="0" borderId="42" xfId="0" applyFont="1" applyBorder="1" applyAlignment="1">
      <alignment horizontal="left" wrapText="1"/>
    </xf>
    <xf numFmtId="0" fontId="81" fillId="0" borderId="40" xfId="0" applyFont="1" applyBorder="1" applyAlignment="1">
      <alignment horizontal="justify"/>
    </xf>
    <xf numFmtId="3" fontId="81" fillId="29" borderId="65" xfId="0" applyNumberFormat="1" applyFont="1" applyFill="1" applyBorder="1"/>
    <xf numFmtId="0" fontId="81" fillId="0" borderId="40" xfId="0" applyFont="1" applyBorder="1" applyAlignment="1">
      <alignment horizontal="left" wrapText="1"/>
    </xf>
    <xf numFmtId="0" fontId="81" fillId="0" borderId="18" xfId="0" applyFont="1" applyBorder="1" applyAlignment="1">
      <alignment horizontal="left" wrapText="1"/>
    </xf>
    <xf numFmtId="0" fontId="82" fillId="0" borderId="17" xfId="0" applyFont="1" applyBorder="1" applyAlignment="1">
      <alignment wrapText="1"/>
    </xf>
    <xf numFmtId="0" fontId="82" fillId="0" borderId="19" xfId="0" applyFont="1" applyBorder="1"/>
    <xf numFmtId="3" fontId="81" fillId="28" borderId="45" xfId="0" applyNumberFormat="1" applyFont="1" applyFill="1" applyBorder="1" applyAlignment="1">
      <alignment horizontal="right"/>
    </xf>
    <xf numFmtId="4" fontId="81" fillId="28" borderId="27" xfId="0" applyNumberFormat="1" applyFont="1" applyFill="1" applyBorder="1" applyAlignment="1">
      <alignment horizontal="right"/>
    </xf>
    <xf numFmtId="3" fontId="81" fillId="28" borderId="101" xfId="0" applyNumberFormat="1" applyFont="1" applyFill="1" applyBorder="1"/>
    <xf numFmtId="4" fontId="81" fillId="28" borderId="109" xfId="0" applyNumberFormat="1" applyFont="1" applyFill="1" applyBorder="1" applyAlignment="1">
      <alignment horizontal="right"/>
    </xf>
    <xf numFmtId="0" fontId="81" fillId="0" borderId="0" xfId="0" applyFont="1" applyAlignment="1">
      <alignment horizontal="left"/>
    </xf>
    <xf numFmtId="3" fontId="81" fillId="0" borderId="0" xfId="0" applyNumberFormat="1" applyFont="1" applyAlignment="1">
      <alignment horizontal="left"/>
    </xf>
    <xf numFmtId="0" fontId="81" fillId="0" borderId="19" xfId="0" applyFont="1" applyBorder="1" applyAlignment="1">
      <alignment horizontal="center"/>
    </xf>
    <xf numFmtId="2" fontId="82" fillId="0" borderId="0" xfId="0" applyNumberFormat="1" applyFont="1"/>
    <xf numFmtId="0" fontId="85" fillId="0" borderId="0" xfId="0" applyFont="1" applyAlignment="1">
      <alignment horizontal="right"/>
    </xf>
    <xf numFmtId="0" fontId="167" fillId="0" borderId="0" xfId="0" applyFont="1"/>
    <xf numFmtId="0" fontId="167" fillId="0" borderId="16" xfId="0" applyFont="1" applyBorder="1"/>
    <xf numFmtId="0" fontId="167" fillId="0" borderId="0" xfId="0" applyFont="1" applyAlignment="1">
      <alignment horizontal="right"/>
    </xf>
    <xf numFmtId="0" fontId="166" fillId="27" borderId="45" xfId="0" applyFont="1" applyFill="1" applyBorder="1" applyAlignment="1">
      <alignment horizontal="center"/>
    </xf>
    <xf numFmtId="0" fontId="166" fillId="0" borderId="27" xfId="0" applyFont="1" applyBorder="1" applyAlignment="1">
      <alignment horizontal="center"/>
    </xf>
    <xf numFmtId="0" fontId="166" fillId="0" borderId="19" xfId="0" applyFont="1" applyBorder="1" applyAlignment="1">
      <alignment horizontal="center"/>
    </xf>
    <xf numFmtId="0" fontId="166" fillId="0" borderId="16" xfId="0" applyFont="1" applyBorder="1" applyAlignment="1">
      <alignment horizontal="center"/>
    </xf>
    <xf numFmtId="0" fontId="166" fillId="0" borderId="43" xfId="0" applyFont="1" applyBorder="1" applyAlignment="1">
      <alignment horizontal="center"/>
    </xf>
    <xf numFmtId="0" fontId="166" fillId="27" borderId="61" xfId="0" applyFont="1" applyFill="1" applyBorder="1" applyAlignment="1">
      <alignment horizontal="center"/>
    </xf>
    <xf numFmtId="0" fontId="166" fillId="0" borderId="28" xfId="0" applyFont="1" applyBorder="1" applyAlignment="1">
      <alignment horizontal="center"/>
    </xf>
    <xf numFmtId="0" fontId="167" fillId="28" borderId="38" xfId="0" applyFont="1" applyFill="1" applyBorder="1"/>
    <xf numFmtId="0" fontId="167" fillId="28" borderId="50" xfId="0" applyFont="1" applyFill="1" applyBorder="1"/>
    <xf numFmtId="0" fontId="167" fillId="28" borderId="126" xfId="0" applyFont="1" applyFill="1" applyBorder="1"/>
    <xf numFmtId="3" fontId="167" fillId="28" borderId="29" xfId="0" applyNumberFormat="1" applyFont="1" applyFill="1" applyBorder="1" applyProtection="1">
      <protection locked="0"/>
    </xf>
    <xf numFmtId="3" fontId="167" fillId="28" borderId="15" xfId="0" applyNumberFormat="1" applyFont="1" applyFill="1" applyBorder="1"/>
    <xf numFmtId="2" fontId="167" fillId="28" borderId="102" xfId="0" applyNumberFormat="1" applyFont="1" applyFill="1" applyBorder="1"/>
    <xf numFmtId="0" fontId="167" fillId="28" borderId="40" xfId="0" applyFont="1" applyFill="1" applyBorder="1"/>
    <xf numFmtId="0" fontId="167" fillId="28" borderId="37" xfId="0" applyFont="1" applyFill="1" applyBorder="1"/>
    <xf numFmtId="0" fontId="167" fillId="28" borderId="39" xfId="0" applyFont="1" applyFill="1" applyBorder="1"/>
    <xf numFmtId="3" fontId="167" fillId="28" borderId="65" xfId="0" applyNumberFormat="1" applyFont="1" applyFill="1" applyBorder="1" applyProtection="1">
      <protection locked="0"/>
    </xf>
    <xf numFmtId="3" fontId="167" fillId="28" borderId="52" xfId="0" applyNumberFormat="1" applyFont="1" applyFill="1" applyBorder="1"/>
    <xf numFmtId="2" fontId="167" fillId="28" borderId="67" xfId="0" applyNumberFormat="1" applyFont="1" applyFill="1" applyBorder="1"/>
    <xf numFmtId="0" fontId="167" fillId="0" borderId="40" xfId="0" applyFont="1" applyBorder="1"/>
    <xf numFmtId="0" fontId="167" fillId="0" borderId="37" xfId="0" applyFont="1" applyBorder="1"/>
    <xf numFmtId="0" fontId="167" fillId="0" borderId="39" xfId="0" applyFont="1" applyBorder="1"/>
    <xf numFmtId="3" fontId="167" fillId="0" borderId="65" xfId="0" applyNumberFormat="1" applyFont="1" applyBorder="1" applyProtection="1">
      <protection locked="0"/>
    </xf>
    <xf numFmtId="3" fontId="167" fillId="0" borderId="52" xfId="0" applyNumberFormat="1" applyFont="1" applyBorder="1"/>
    <xf numFmtId="2" fontId="167" fillId="0" borderId="67" xfId="0" applyNumberFormat="1" applyFont="1" applyBorder="1"/>
    <xf numFmtId="3" fontId="167" fillId="28" borderId="34" xfId="0" applyNumberFormat="1" applyFont="1" applyFill="1" applyBorder="1" applyProtection="1">
      <protection locked="0"/>
    </xf>
    <xf numFmtId="3" fontId="167" fillId="28" borderId="36" xfId="0" applyNumberFormat="1" applyFont="1" applyFill="1" applyBorder="1"/>
    <xf numFmtId="2" fontId="167" fillId="28" borderId="68" xfId="0" applyNumberFormat="1" applyFont="1" applyFill="1" applyBorder="1"/>
    <xf numFmtId="0" fontId="167" fillId="28" borderId="62" xfId="0" applyFont="1" applyFill="1" applyBorder="1"/>
    <xf numFmtId="0" fontId="167" fillId="28" borderId="66" xfId="0" applyFont="1" applyFill="1" applyBorder="1"/>
    <xf numFmtId="0" fontId="167" fillId="28" borderId="92" xfId="0" applyFont="1" applyFill="1" applyBorder="1"/>
    <xf numFmtId="3" fontId="167" fillId="28" borderId="65" xfId="0" applyNumberFormat="1" applyFont="1" applyFill="1" applyBorder="1"/>
    <xf numFmtId="2" fontId="167" fillId="28" borderId="71" xfId="0" applyNumberFormat="1" applyFont="1" applyFill="1" applyBorder="1"/>
    <xf numFmtId="2" fontId="167" fillId="0" borderId="68" xfId="0" applyNumberFormat="1" applyFont="1" applyBorder="1"/>
    <xf numFmtId="3" fontId="166" fillId="0" borderId="48" xfId="0" applyNumberFormat="1" applyFont="1" applyBorder="1"/>
    <xf numFmtId="2" fontId="166" fillId="0" borderId="60" xfId="0" applyNumberFormat="1" applyFont="1" applyBorder="1"/>
    <xf numFmtId="0" fontId="167" fillId="0" borderId="108" xfId="0" applyFont="1" applyBorder="1"/>
    <xf numFmtId="0" fontId="167" fillId="0" borderId="117" xfId="0" applyFont="1" applyBorder="1"/>
    <xf numFmtId="3" fontId="167" fillId="0" borderId="118" xfId="0" applyNumberFormat="1" applyFont="1" applyBorder="1" applyProtection="1">
      <protection locked="0"/>
    </xf>
    <xf numFmtId="2" fontId="167" fillId="0" borderId="102" xfId="0" applyNumberFormat="1" applyFont="1" applyBorder="1"/>
    <xf numFmtId="0" fontId="167" fillId="0" borderId="38" xfId="0" applyFont="1" applyBorder="1"/>
    <xf numFmtId="0" fontId="167" fillId="0" borderId="50" xfId="0" applyFont="1" applyBorder="1"/>
    <xf numFmtId="3" fontId="167" fillId="0" borderId="110" xfId="0" applyNumberFormat="1" applyFont="1" applyBorder="1" applyProtection="1">
      <protection locked="0"/>
    </xf>
    <xf numFmtId="3" fontId="167" fillId="0" borderId="34" xfId="0" applyNumberFormat="1" applyFont="1" applyBorder="1" applyProtection="1">
      <protection locked="0"/>
    </xf>
    <xf numFmtId="0" fontId="167" fillId="0" borderId="18" xfId="0" applyFont="1" applyBorder="1"/>
    <xf numFmtId="3" fontId="167" fillId="0" borderId="29" xfId="0" applyNumberFormat="1" applyFont="1" applyBorder="1" applyProtection="1">
      <protection locked="0"/>
    </xf>
    <xf numFmtId="2" fontId="167" fillId="0" borderId="59" xfId="0" applyNumberFormat="1" applyFont="1" applyBorder="1"/>
    <xf numFmtId="3" fontId="166" fillId="0" borderId="21" xfId="0" applyNumberFormat="1" applyFont="1" applyBorder="1"/>
    <xf numFmtId="0" fontId="109" fillId="0" borderId="83" xfId="90" applyFont="1" applyBorder="1" applyAlignment="1">
      <alignment horizontal="center"/>
    </xf>
    <xf numFmtId="0" fontId="109" fillId="0" borderId="69" xfId="90" applyFont="1" applyBorder="1" applyAlignment="1">
      <alignment horizontal="center"/>
    </xf>
    <xf numFmtId="0" fontId="109" fillId="0" borderId="70" xfId="90" applyFont="1" applyBorder="1" applyAlignment="1">
      <alignment horizontal="center"/>
    </xf>
    <xf numFmtId="3" fontId="110" fillId="0" borderId="69" xfId="90" applyNumberFormat="1" applyFont="1" applyBorder="1" applyAlignment="1">
      <alignment horizontal="center"/>
    </xf>
    <xf numFmtId="3" fontId="109" fillId="0" borderId="78" xfId="90" applyNumberFormat="1" applyFont="1" applyBorder="1" applyAlignment="1">
      <alignment horizontal="center"/>
    </xf>
    <xf numFmtId="3" fontId="109" fillId="0" borderId="69" xfId="90" applyNumberFormat="1" applyFont="1" applyBorder="1" applyAlignment="1">
      <alignment horizontal="center"/>
    </xf>
    <xf numFmtId="3" fontId="109" fillId="0" borderId="76" xfId="90" applyNumberFormat="1" applyFont="1" applyBorder="1" applyAlignment="1">
      <alignment horizontal="center"/>
    </xf>
    <xf numFmtId="3" fontId="109" fillId="0" borderId="89" xfId="90" applyNumberFormat="1" applyFont="1" applyBorder="1" applyAlignment="1">
      <alignment horizontal="center"/>
    </xf>
    <xf numFmtId="3" fontId="109" fillId="0" borderId="83" xfId="90" applyNumberFormat="1" applyFont="1" applyBorder="1" applyAlignment="1">
      <alignment horizontal="center"/>
    </xf>
    <xf numFmtId="3" fontId="110" fillId="0" borderId="70" xfId="90" applyNumberFormat="1" applyFont="1" applyBorder="1" applyAlignment="1">
      <alignment horizontal="center"/>
    </xf>
    <xf numFmtId="3" fontId="160" fillId="0" borderId="69" xfId="90" applyNumberFormat="1" applyFont="1" applyBorder="1" applyAlignment="1">
      <alignment horizontal="center"/>
    </xf>
    <xf numFmtId="3" fontId="109" fillId="0" borderId="70" xfId="90" applyNumberFormat="1" applyFont="1" applyBorder="1" applyAlignment="1">
      <alignment horizontal="center"/>
    </xf>
    <xf numFmtId="3" fontId="160" fillId="0" borderId="77" xfId="90" applyNumberFormat="1" applyFont="1" applyBorder="1" applyAlignment="1">
      <alignment horizontal="center"/>
    </xf>
    <xf numFmtId="3" fontId="82" fillId="0" borderId="43" xfId="101" applyNumberFormat="1" applyFont="1" applyBorder="1"/>
    <xf numFmtId="0" fontId="125" fillId="0" borderId="0" xfId="0" applyFont="1"/>
    <xf numFmtId="0" fontId="125" fillId="0" borderId="40" xfId="0" applyFont="1" applyBorder="1"/>
    <xf numFmtId="0" fontId="130" fillId="0" borderId="0" xfId="0" applyFont="1"/>
    <xf numFmtId="3" fontId="125" fillId="0" borderId="0" xfId="0" applyNumberFormat="1" applyFont="1"/>
    <xf numFmtId="0" fontId="130" fillId="0" borderId="18" xfId="0" applyFont="1" applyBorder="1"/>
    <xf numFmtId="3" fontId="130" fillId="0" borderId="18" xfId="0" applyNumberFormat="1" applyFont="1" applyBorder="1" applyAlignment="1">
      <alignment horizontal="centerContinuous"/>
    </xf>
    <xf numFmtId="3" fontId="125" fillId="0" borderId="18" xfId="0" applyNumberFormat="1" applyFont="1" applyBorder="1"/>
    <xf numFmtId="0" fontId="130" fillId="0" borderId="20" xfId="0" applyFont="1" applyBorder="1"/>
    <xf numFmtId="3" fontId="168" fillId="0" borderId="115" xfId="76" applyNumberFormat="1" applyFont="1" applyBorder="1" applyAlignment="1">
      <alignment horizontal="left"/>
    </xf>
    <xf numFmtId="3" fontId="168" fillId="0" borderId="115" xfId="76" applyNumberFormat="1" applyFont="1" applyBorder="1" applyAlignment="1">
      <alignment horizontal="right"/>
    </xf>
    <xf numFmtId="10" fontId="168" fillId="0" borderId="115" xfId="76" applyNumberFormat="1" applyFont="1" applyBorder="1" applyAlignment="1">
      <alignment horizontal="right"/>
    </xf>
    <xf numFmtId="3" fontId="169" fillId="0" borderId="115" xfId="76" applyNumberFormat="1" applyFont="1" applyBorder="1" applyAlignment="1">
      <alignment horizontal="right"/>
    </xf>
    <xf numFmtId="10" fontId="169" fillId="0" borderId="115" xfId="76" applyNumberFormat="1" applyFont="1" applyBorder="1" applyAlignment="1">
      <alignment horizontal="right"/>
    </xf>
    <xf numFmtId="3" fontId="168" fillId="0" borderId="70" xfId="76" applyNumberFormat="1" applyFont="1" applyBorder="1" applyAlignment="1">
      <alignment horizontal="left"/>
    </xf>
    <xf numFmtId="3" fontId="168" fillId="0" borderId="69" xfId="76" applyNumberFormat="1" applyFont="1" applyBorder="1" applyAlignment="1">
      <alignment horizontal="right"/>
    </xf>
    <xf numFmtId="10" fontId="168" fillId="0" borderId="69" xfId="76" applyNumberFormat="1" applyFont="1" applyBorder="1" applyAlignment="1">
      <alignment horizontal="right"/>
    </xf>
    <xf numFmtId="10" fontId="169" fillId="0" borderId="69" xfId="76" applyNumberFormat="1" applyFont="1" applyBorder="1" applyAlignment="1">
      <alignment horizontal="right"/>
    </xf>
    <xf numFmtId="10" fontId="168" fillId="0" borderId="76" xfId="76" applyNumberFormat="1" applyFont="1" applyBorder="1" applyAlignment="1">
      <alignment horizontal="right"/>
    </xf>
    <xf numFmtId="3" fontId="169" fillId="0" borderId="17" xfId="76" applyNumberFormat="1" applyFont="1" applyBorder="1" applyAlignment="1">
      <alignment horizontal="left"/>
    </xf>
    <xf numFmtId="3" fontId="169" fillId="0" borderId="77" xfId="76" applyNumberFormat="1" applyFont="1" applyBorder="1" applyAlignment="1">
      <alignment horizontal="right"/>
    </xf>
    <xf numFmtId="10" fontId="169" fillId="0" borderId="77" xfId="76" applyNumberFormat="1" applyFont="1" applyBorder="1" applyAlignment="1">
      <alignment horizontal="right"/>
    </xf>
    <xf numFmtId="3" fontId="168" fillId="0" borderId="17" xfId="76" applyNumberFormat="1" applyFont="1" applyBorder="1" applyAlignment="1">
      <alignment horizontal="left"/>
    </xf>
    <xf numFmtId="3" fontId="168" fillId="0" borderId="77" xfId="76" applyNumberFormat="1" applyFont="1" applyBorder="1" applyAlignment="1">
      <alignment horizontal="right"/>
    </xf>
    <xf numFmtId="10" fontId="168" fillId="0" borderId="77" xfId="76" applyNumberFormat="1" applyFont="1" applyBorder="1" applyAlignment="1">
      <alignment horizontal="right"/>
    </xf>
    <xf numFmtId="10" fontId="169" fillId="0" borderId="70" xfId="76" applyNumberFormat="1" applyFont="1" applyBorder="1" applyAlignment="1">
      <alignment horizontal="right"/>
    </xf>
    <xf numFmtId="3" fontId="169" fillId="0" borderId="69" xfId="76" applyNumberFormat="1" applyFont="1" applyBorder="1" applyAlignment="1">
      <alignment horizontal="center" vertical="center"/>
    </xf>
    <xf numFmtId="3" fontId="169" fillId="0" borderId="69" xfId="76" applyNumberFormat="1" applyFont="1" applyBorder="1" applyAlignment="1">
      <alignment horizontal="right"/>
    </xf>
    <xf numFmtId="3" fontId="170" fillId="0" borderId="69" xfId="76" applyNumberFormat="1" applyFont="1" applyBorder="1" applyAlignment="1">
      <alignment horizontal="center"/>
    </xf>
    <xf numFmtId="3" fontId="168" fillId="0" borderId="69" xfId="76" applyNumberFormat="1" applyFont="1" applyBorder="1" applyAlignment="1">
      <alignment horizontal="justify"/>
    </xf>
    <xf numFmtId="3" fontId="168" fillId="0" borderId="78" xfId="76" applyNumberFormat="1" applyFont="1" applyBorder="1" applyAlignment="1">
      <alignment horizontal="left"/>
    </xf>
    <xf numFmtId="3" fontId="168" fillId="0" borderId="78" xfId="76" applyNumberFormat="1" applyFont="1" applyBorder="1" applyAlignment="1">
      <alignment horizontal="right"/>
    </xf>
    <xf numFmtId="3" fontId="168" fillId="0" borderId="89" xfId="76" applyNumberFormat="1" applyFont="1" applyBorder="1" applyAlignment="1">
      <alignment horizontal="left"/>
    </xf>
    <xf numFmtId="3" fontId="169" fillId="0" borderId="77" xfId="76" applyNumberFormat="1" applyFont="1" applyBorder="1" applyAlignment="1">
      <alignment horizontal="left"/>
    </xf>
    <xf numFmtId="3" fontId="170" fillId="0" borderId="83" xfId="76" applyNumberFormat="1" applyFont="1" applyBorder="1" applyAlignment="1">
      <alignment horizontal="center"/>
    </xf>
    <xf numFmtId="3" fontId="169" fillId="0" borderId="83" xfId="76" applyNumberFormat="1" applyFont="1" applyBorder="1" applyAlignment="1">
      <alignment horizontal="right"/>
    </xf>
    <xf numFmtId="10" fontId="168" fillId="0" borderId="70" xfId="76" applyNumberFormat="1" applyFont="1" applyBorder="1" applyAlignment="1">
      <alignment horizontal="right"/>
    </xf>
    <xf numFmtId="3" fontId="168" fillId="0" borderId="75" xfId="76" applyNumberFormat="1" applyFont="1" applyBorder="1" applyAlignment="1">
      <alignment horizontal="right"/>
    </xf>
    <xf numFmtId="3" fontId="168" fillId="0" borderId="75" xfId="76" applyNumberFormat="1" applyFont="1" applyBorder="1"/>
    <xf numFmtId="3" fontId="168" fillId="0" borderId="115" xfId="76" applyNumberFormat="1" applyFont="1" applyBorder="1" applyAlignment="1">
      <alignment horizontal="justify"/>
    </xf>
    <xf numFmtId="3" fontId="168" fillId="0" borderId="115" xfId="76" applyNumberFormat="1" applyFont="1" applyBorder="1"/>
    <xf numFmtId="3" fontId="168" fillId="0" borderId="76" xfId="76" applyNumberFormat="1" applyFont="1" applyBorder="1" applyAlignment="1">
      <alignment horizontal="justify"/>
    </xf>
    <xf numFmtId="3" fontId="168" fillId="0" borderId="76" xfId="76" applyNumberFormat="1" applyFont="1" applyBorder="1" applyAlignment="1">
      <alignment horizontal="right"/>
    </xf>
    <xf numFmtId="3" fontId="169" fillId="0" borderId="76" xfId="76" applyNumberFormat="1" applyFont="1" applyBorder="1" applyAlignment="1">
      <alignment horizontal="right"/>
    </xf>
    <xf numFmtId="10" fontId="169" fillId="0" borderId="76" xfId="76" applyNumberFormat="1" applyFont="1" applyBorder="1" applyAlignment="1">
      <alignment horizontal="right"/>
    </xf>
    <xf numFmtId="3" fontId="169" fillId="0" borderId="70" xfId="76" applyNumberFormat="1" applyFont="1" applyBorder="1" applyAlignment="1">
      <alignment horizontal="left"/>
    </xf>
    <xf numFmtId="3" fontId="169" fillId="0" borderId="70" xfId="76" applyNumberFormat="1" applyFont="1" applyBorder="1" applyAlignment="1">
      <alignment horizontal="right"/>
    </xf>
    <xf numFmtId="3" fontId="169" fillId="0" borderId="77" xfId="76" applyNumberFormat="1" applyFont="1" applyBorder="1" applyAlignment="1">
      <alignment horizontal="left" vertical="center"/>
    </xf>
    <xf numFmtId="3" fontId="115" fillId="0" borderId="70" xfId="76" applyNumberFormat="1" applyFont="1" applyBorder="1" applyAlignment="1">
      <alignment horizontal="center" vertical="center" wrapText="1"/>
    </xf>
    <xf numFmtId="3" fontId="171" fillId="0" borderId="0" xfId="76" applyNumberFormat="1" applyFont="1"/>
    <xf numFmtId="3" fontId="171" fillId="0" borderId="0" xfId="76" applyNumberFormat="1" applyFont="1" applyAlignment="1">
      <alignment horizontal="right"/>
    </xf>
    <xf numFmtId="3" fontId="172" fillId="0" borderId="0" xfId="76" applyNumberFormat="1" applyFont="1"/>
    <xf numFmtId="3" fontId="171" fillId="0" borderId="0" xfId="76" applyNumberFormat="1" applyFont="1" applyAlignment="1">
      <alignment horizontal="center"/>
    </xf>
    <xf numFmtId="3" fontId="174" fillId="0" borderId="23" xfId="76" applyNumberFormat="1" applyFont="1" applyBorder="1" applyAlignment="1">
      <alignment horizontal="center"/>
    </xf>
    <xf numFmtId="3" fontId="174" fillId="0" borderId="0" xfId="76" applyNumberFormat="1" applyFont="1" applyAlignment="1">
      <alignment horizontal="center"/>
    </xf>
    <xf numFmtId="3" fontId="174" fillId="0" borderId="18" xfId="76" applyNumberFormat="1" applyFont="1" applyBorder="1" applyAlignment="1">
      <alignment horizontal="center" vertical="center"/>
    </xf>
    <xf numFmtId="3" fontId="174" fillId="0" borderId="0" xfId="76" applyNumberFormat="1" applyFont="1" applyAlignment="1">
      <alignment horizontal="justify"/>
    </xf>
    <xf numFmtId="3" fontId="172" fillId="29" borderId="70" xfId="76" applyNumberFormat="1" applyFont="1" applyFill="1" applyBorder="1" applyAlignment="1">
      <alignment horizontal="center" vertical="center"/>
    </xf>
    <xf numFmtId="3" fontId="172" fillId="0" borderId="70" xfId="76" applyNumberFormat="1" applyFont="1" applyBorder="1" applyAlignment="1">
      <alignment horizontal="center" vertical="center" wrapText="1"/>
    </xf>
    <xf numFmtId="3" fontId="172" fillId="0" borderId="70" xfId="76" applyNumberFormat="1" applyFont="1" applyBorder="1" applyAlignment="1">
      <alignment horizontal="center" vertical="center"/>
    </xf>
    <xf numFmtId="3" fontId="172" fillId="0" borderId="0" xfId="76" applyNumberFormat="1" applyFont="1" applyAlignment="1">
      <alignment horizontal="center"/>
    </xf>
    <xf numFmtId="3" fontId="172" fillId="0" borderId="83" xfId="76" applyNumberFormat="1" applyFont="1" applyBorder="1" applyAlignment="1">
      <alignment horizontal="center" vertical="center"/>
    </xf>
    <xf numFmtId="3" fontId="172" fillId="0" borderId="83" xfId="76" applyNumberFormat="1" applyFont="1" applyBorder="1" applyAlignment="1">
      <alignment horizontal="right"/>
    </xf>
    <xf numFmtId="3" fontId="172" fillId="0" borderId="83" xfId="76" applyNumberFormat="1" applyFont="1" applyBorder="1" applyAlignment="1">
      <alignment horizontal="center"/>
    </xf>
    <xf numFmtId="3" fontId="174" fillId="0" borderId="0" xfId="76" applyNumberFormat="1" applyFont="1"/>
    <xf numFmtId="3" fontId="175" fillId="0" borderId="115" xfId="76" applyNumberFormat="1" applyFont="1" applyBorder="1" applyAlignment="1">
      <alignment horizontal="left"/>
    </xf>
    <xf numFmtId="3" fontId="175" fillId="0" borderId="115" xfId="76" applyNumberFormat="1" applyFont="1" applyBorder="1" applyAlignment="1">
      <alignment horizontal="right"/>
    </xf>
    <xf numFmtId="10" fontId="175" fillId="0" borderId="115" xfId="76" applyNumberFormat="1" applyFont="1" applyBorder="1" applyAlignment="1">
      <alignment horizontal="right"/>
    </xf>
    <xf numFmtId="3" fontId="174" fillId="0" borderId="115" xfId="76" applyNumberFormat="1" applyFont="1" applyBorder="1" applyAlignment="1">
      <alignment horizontal="right"/>
    </xf>
    <xf numFmtId="10" fontId="174" fillId="0" borderId="115" xfId="76" applyNumberFormat="1" applyFont="1" applyBorder="1" applyAlignment="1">
      <alignment horizontal="right"/>
    </xf>
    <xf numFmtId="3" fontId="175" fillId="0" borderId="70" xfId="76" applyNumberFormat="1" applyFont="1" applyBorder="1" applyAlignment="1">
      <alignment horizontal="left"/>
    </xf>
    <xf numFmtId="3" fontId="175" fillId="0" borderId="69" xfId="76" applyNumberFormat="1" applyFont="1" applyBorder="1" applyAlignment="1">
      <alignment horizontal="right"/>
    </xf>
    <xf numFmtId="10" fontId="175" fillId="0" borderId="69" xfId="76" applyNumberFormat="1" applyFont="1" applyBorder="1" applyAlignment="1">
      <alignment horizontal="right"/>
    </xf>
    <xf numFmtId="10" fontId="174" fillId="0" borderId="69" xfId="76" applyNumberFormat="1" applyFont="1" applyBorder="1" applyAlignment="1">
      <alignment horizontal="right"/>
    </xf>
    <xf numFmtId="10" fontId="175" fillId="0" borderId="76" xfId="76" applyNumberFormat="1" applyFont="1" applyBorder="1" applyAlignment="1">
      <alignment horizontal="right"/>
    </xf>
    <xf numFmtId="3" fontId="174" fillId="0" borderId="17" xfId="76" applyNumberFormat="1" applyFont="1" applyBorder="1" applyAlignment="1">
      <alignment horizontal="left"/>
    </xf>
    <xf numFmtId="3" fontId="174" fillId="0" borderId="77" xfId="76" applyNumberFormat="1" applyFont="1" applyBorder="1" applyAlignment="1">
      <alignment horizontal="right"/>
    </xf>
    <xf numFmtId="10" fontId="174" fillId="0" borderId="77" xfId="76" applyNumberFormat="1" applyFont="1" applyBorder="1" applyAlignment="1">
      <alignment horizontal="right"/>
    </xf>
    <xf numFmtId="3" fontId="175" fillId="0" borderId="17" xfId="76" applyNumberFormat="1" applyFont="1" applyBorder="1" applyAlignment="1">
      <alignment horizontal="left"/>
    </xf>
    <xf numFmtId="3" fontId="175" fillId="0" borderId="77" xfId="76" applyNumberFormat="1" applyFont="1" applyBorder="1" applyAlignment="1">
      <alignment horizontal="right"/>
    </xf>
    <xf numFmtId="10" fontId="175" fillId="0" borderId="77" xfId="76" applyNumberFormat="1" applyFont="1" applyBorder="1" applyAlignment="1">
      <alignment horizontal="right"/>
    </xf>
    <xf numFmtId="10" fontId="174" fillId="0" borderId="70" xfId="76" applyNumberFormat="1" applyFont="1" applyBorder="1" applyAlignment="1">
      <alignment horizontal="right"/>
    </xf>
    <xf numFmtId="3" fontId="174" fillId="0" borderId="69" xfId="76" applyNumberFormat="1" applyFont="1" applyBorder="1" applyAlignment="1">
      <alignment horizontal="center" vertical="center"/>
    </xf>
    <xf numFmtId="3" fontId="174" fillId="0" borderId="69" xfId="76" applyNumberFormat="1" applyFont="1" applyBorder="1" applyAlignment="1">
      <alignment horizontal="right"/>
    </xf>
    <xf numFmtId="3" fontId="176" fillId="0" borderId="69" xfId="76" applyNumberFormat="1" applyFont="1" applyBorder="1" applyAlignment="1">
      <alignment horizontal="center"/>
    </xf>
    <xf numFmtId="3" fontId="175" fillId="0" borderId="69" xfId="76" applyNumberFormat="1" applyFont="1" applyBorder="1" applyAlignment="1">
      <alignment horizontal="justify"/>
    </xf>
    <xf numFmtId="10" fontId="175" fillId="29" borderId="115" xfId="76" applyNumberFormat="1" applyFont="1" applyFill="1" applyBorder="1" applyAlignment="1">
      <alignment horizontal="right"/>
    </xf>
    <xf numFmtId="3" fontId="175" fillId="0" borderId="78" xfId="76" applyNumberFormat="1" applyFont="1" applyBorder="1" applyAlignment="1">
      <alignment horizontal="left"/>
    </xf>
    <xf numFmtId="3" fontId="175" fillId="0" borderId="78" xfId="76" applyNumberFormat="1" applyFont="1" applyBorder="1" applyAlignment="1">
      <alignment horizontal="right"/>
    </xf>
    <xf numFmtId="10" fontId="175" fillId="0" borderId="78" xfId="76" applyNumberFormat="1" applyFont="1" applyBorder="1" applyAlignment="1">
      <alignment horizontal="right"/>
    </xf>
    <xf numFmtId="3" fontId="175" fillId="0" borderId="89" xfId="76" applyNumberFormat="1" applyFont="1" applyBorder="1" applyAlignment="1">
      <alignment horizontal="left"/>
    </xf>
    <xf numFmtId="3" fontId="175" fillId="29" borderId="78" xfId="76" applyNumberFormat="1" applyFont="1" applyFill="1" applyBorder="1" applyAlignment="1">
      <alignment horizontal="right"/>
    </xf>
    <xf numFmtId="3" fontId="175" fillId="0" borderId="89" xfId="76" applyNumberFormat="1" applyFont="1" applyBorder="1" applyAlignment="1">
      <alignment horizontal="right"/>
    </xf>
    <xf numFmtId="3" fontId="174" fillId="0" borderId="77" xfId="76" applyNumberFormat="1" applyFont="1" applyBorder="1" applyAlignment="1">
      <alignment horizontal="left"/>
    </xf>
    <xf numFmtId="3" fontId="176" fillId="0" borderId="83" xfId="76" applyNumberFormat="1" applyFont="1" applyBorder="1" applyAlignment="1">
      <alignment horizontal="center"/>
    </xf>
    <xf numFmtId="3" fontId="174" fillId="0" borderId="83" xfId="76" applyNumberFormat="1" applyFont="1" applyBorder="1" applyAlignment="1">
      <alignment horizontal="right"/>
    </xf>
    <xf numFmtId="10" fontId="175" fillId="0" borderId="70" xfId="76" applyNumberFormat="1" applyFont="1" applyBorder="1" applyAlignment="1">
      <alignment horizontal="right"/>
    </xf>
    <xf numFmtId="10" fontId="175" fillId="0" borderId="70" xfId="76" applyNumberFormat="1" applyFont="1" applyBorder="1"/>
    <xf numFmtId="3" fontId="175" fillId="0" borderId="83" xfId="76" applyNumberFormat="1" applyFont="1" applyBorder="1" applyAlignment="1">
      <alignment horizontal="right"/>
    </xf>
    <xf numFmtId="3" fontId="175" fillId="0" borderId="75" xfId="76" applyNumberFormat="1" applyFont="1" applyBorder="1" applyAlignment="1">
      <alignment wrapText="1"/>
    </xf>
    <xf numFmtId="3" fontId="175" fillId="0" borderId="75" xfId="76" applyNumberFormat="1" applyFont="1" applyBorder="1" applyAlignment="1">
      <alignment horizontal="right"/>
    </xf>
    <xf numFmtId="3" fontId="175" fillId="0" borderId="75" xfId="76" applyNumberFormat="1" applyFont="1" applyBorder="1"/>
    <xf numFmtId="3" fontId="175" fillId="0" borderId="115" xfId="76" applyNumberFormat="1" applyFont="1" applyBorder="1" applyAlignment="1">
      <alignment horizontal="justify"/>
    </xf>
    <xf numFmtId="3" fontId="175" fillId="0" borderId="137" xfId="76" applyNumberFormat="1" applyFont="1" applyBorder="1" applyAlignment="1">
      <alignment horizontal="right"/>
    </xf>
    <xf numFmtId="3" fontId="175" fillId="0" borderId="115" xfId="76" applyNumberFormat="1" applyFont="1" applyBorder="1"/>
    <xf numFmtId="3" fontId="175" fillId="0" borderId="76" xfId="76" applyNumberFormat="1" applyFont="1" applyBorder="1" applyAlignment="1">
      <alignment horizontal="justify"/>
    </xf>
    <xf numFmtId="3" fontId="175" fillId="0" borderId="76" xfId="76" applyNumberFormat="1" applyFont="1" applyBorder="1" applyAlignment="1">
      <alignment horizontal="right"/>
    </xf>
    <xf numFmtId="3" fontId="174" fillId="0" borderId="76" xfId="76" applyNumberFormat="1" applyFont="1" applyBorder="1" applyAlignment="1">
      <alignment horizontal="right"/>
    </xf>
    <xf numFmtId="10" fontId="174" fillId="0" borderId="76" xfId="76" applyNumberFormat="1" applyFont="1" applyBorder="1" applyAlignment="1">
      <alignment horizontal="right"/>
    </xf>
    <xf numFmtId="10" fontId="175" fillId="0" borderId="76" xfId="76" applyNumberFormat="1" applyFont="1" applyBorder="1"/>
    <xf numFmtId="3" fontId="174" fillId="0" borderId="70" xfId="76" applyNumberFormat="1" applyFont="1" applyBorder="1" applyAlignment="1">
      <alignment horizontal="left"/>
    </xf>
    <xf numFmtId="3" fontId="174" fillId="0" borderId="70" xfId="76" applyNumberFormat="1" applyFont="1" applyBorder="1" applyAlignment="1">
      <alignment horizontal="right"/>
    </xf>
    <xf numFmtId="3" fontId="174" fillId="0" borderId="77" xfId="76" applyNumberFormat="1" applyFont="1" applyBorder="1" applyAlignment="1">
      <alignment horizontal="left" vertical="center"/>
    </xf>
    <xf numFmtId="0" fontId="172" fillId="0" borderId="0" xfId="76" applyFont="1" applyAlignment="1">
      <alignment horizontal="left"/>
    </xf>
    <xf numFmtId="3" fontId="172" fillId="0" borderId="0" xfId="76" applyNumberFormat="1" applyFont="1" applyAlignment="1">
      <alignment horizontal="right"/>
    </xf>
    <xf numFmtId="0" fontId="172" fillId="0" borderId="0" xfId="76" applyFont="1"/>
    <xf numFmtId="0" fontId="177" fillId="0" borderId="0" xfId="76" applyFont="1"/>
    <xf numFmtId="3" fontId="178" fillId="0" borderId="0" xfId="76" applyNumberFormat="1" applyFont="1" applyAlignment="1">
      <alignment horizontal="right"/>
    </xf>
    <xf numFmtId="0" fontId="178" fillId="0" borderId="0" xfId="76" applyFont="1"/>
    <xf numFmtId="3" fontId="178" fillId="0" borderId="0" xfId="76" applyNumberFormat="1" applyFont="1" applyAlignment="1">
      <alignment horizontal="center"/>
    </xf>
    <xf numFmtId="3" fontId="177" fillId="0" borderId="0" xfId="76" applyNumberFormat="1" applyFont="1"/>
    <xf numFmtId="3" fontId="177" fillId="0" borderId="0" xfId="76" applyNumberFormat="1" applyFont="1" applyAlignment="1">
      <alignment horizontal="right"/>
    </xf>
    <xf numFmtId="3" fontId="177" fillId="0" borderId="0" xfId="76" applyNumberFormat="1" applyFont="1" applyAlignment="1">
      <alignment horizontal="center"/>
    </xf>
    <xf numFmtId="3" fontId="178" fillId="0" borderId="0" xfId="76" applyNumberFormat="1" applyFont="1"/>
    <xf numFmtId="3" fontId="169" fillId="0" borderId="23" xfId="76" applyNumberFormat="1" applyFont="1" applyBorder="1" applyAlignment="1">
      <alignment horizontal="center"/>
    </xf>
    <xf numFmtId="3" fontId="168" fillId="0" borderId="23" xfId="76" applyNumberFormat="1" applyFont="1" applyBorder="1" applyAlignment="1">
      <alignment horizontal="left"/>
    </xf>
    <xf numFmtId="3" fontId="169" fillId="0" borderId="0" xfId="76" applyNumberFormat="1" applyFont="1" applyAlignment="1">
      <alignment horizontal="center"/>
    </xf>
    <xf numFmtId="3" fontId="179" fillId="0" borderId="0" xfId="76" applyNumberFormat="1" applyFont="1" applyAlignment="1">
      <alignment horizontal="center"/>
    </xf>
    <xf numFmtId="3" fontId="169" fillId="0" borderId="18" xfId="76" applyNumberFormat="1" applyFont="1" applyBorder="1" applyAlignment="1">
      <alignment horizontal="center"/>
    </xf>
    <xf numFmtId="3" fontId="169" fillId="0" borderId="18" xfId="76" applyNumberFormat="1" applyFont="1" applyBorder="1" applyAlignment="1">
      <alignment horizontal="center" vertical="center"/>
    </xf>
    <xf numFmtId="3" fontId="168" fillId="0" borderId="18" xfId="76" applyNumberFormat="1" applyFont="1" applyBorder="1" applyAlignment="1">
      <alignment horizontal="left"/>
    </xf>
    <xf numFmtId="3" fontId="169" fillId="0" borderId="0" xfId="76" applyNumberFormat="1" applyFont="1" applyAlignment="1">
      <alignment horizontal="justify"/>
    </xf>
    <xf numFmtId="3" fontId="179" fillId="0" borderId="0" xfId="76" applyNumberFormat="1" applyFont="1" applyAlignment="1">
      <alignment horizontal="justify"/>
    </xf>
    <xf numFmtId="3" fontId="169" fillId="0" borderId="0" xfId="76" applyNumberFormat="1" applyFont="1"/>
    <xf numFmtId="3" fontId="179" fillId="0" borderId="0" xfId="76" applyNumberFormat="1" applyFont="1"/>
    <xf numFmtId="0" fontId="125" fillId="28" borderId="108" xfId="0" applyFont="1" applyFill="1" applyBorder="1" applyAlignment="1">
      <alignment horizontal="justify"/>
    </xf>
    <xf numFmtId="0" fontId="125" fillId="28" borderId="40" xfId="0" applyFont="1" applyFill="1" applyBorder="1" applyAlignment="1">
      <alignment horizontal="justify"/>
    </xf>
    <xf numFmtId="3" fontId="130" fillId="0" borderId="17" xfId="0" applyNumberFormat="1" applyFont="1" applyBorder="1"/>
    <xf numFmtId="0" fontId="125" fillId="28" borderId="41" xfId="0" applyFont="1" applyFill="1" applyBorder="1" applyAlignment="1">
      <alignment horizontal="justify"/>
    </xf>
    <xf numFmtId="0" fontId="125" fillId="0" borderId="40" xfId="0" applyFont="1" applyBorder="1" applyAlignment="1">
      <alignment horizontal="justify"/>
    </xf>
    <xf numFmtId="3" fontId="125" fillId="0" borderId="105" xfId="0" applyNumberFormat="1" applyFont="1" applyBorder="1" applyAlignment="1">
      <alignment horizontal="left" wrapText="1"/>
    </xf>
    <xf numFmtId="0" fontId="125" fillId="0" borderId="40" xfId="0" applyFont="1" applyBorder="1" applyAlignment="1">
      <alignment wrapText="1"/>
    </xf>
    <xf numFmtId="0" fontId="125" fillId="0" borderId="62" xfId="0" applyFont="1" applyBorder="1"/>
    <xf numFmtId="0" fontId="125" fillId="0" borderId="18" xfId="0" applyFont="1" applyBorder="1" applyAlignment="1">
      <alignment horizontal="justify"/>
    </xf>
    <xf numFmtId="0" fontId="154" fillId="0" borderId="20" xfId="0" applyFont="1" applyBorder="1" applyAlignment="1">
      <alignment horizontal="justify"/>
    </xf>
    <xf numFmtId="0" fontId="130" fillId="0" borderId="17" xfId="0" applyFont="1" applyBorder="1"/>
    <xf numFmtId="0" fontId="130" fillId="0" borderId="19" xfId="0" applyFont="1" applyBorder="1"/>
    <xf numFmtId="3" fontId="130" fillId="0" borderId="25" xfId="0" applyNumberFormat="1" applyFont="1" applyBorder="1" applyAlignment="1">
      <alignment horizontal="center"/>
    </xf>
    <xf numFmtId="3" fontId="130" fillId="0" borderId="94" xfId="0" applyNumberFormat="1" applyFont="1" applyBorder="1" applyAlignment="1">
      <alignment horizontal="center"/>
    </xf>
    <xf numFmtId="0" fontId="125" fillId="28" borderId="18" xfId="0" applyFont="1" applyFill="1" applyBorder="1" applyAlignment="1">
      <alignment horizontal="left" wrapText="1"/>
    </xf>
    <xf numFmtId="0" fontId="125" fillId="28" borderId="40" xfId="0" applyFont="1" applyFill="1" applyBorder="1" applyAlignment="1">
      <alignment horizontal="left" wrapText="1"/>
    </xf>
    <xf numFmtId="0" fontId="125" fillId="28" borderId="19" xfId="0" applyFont="1" applyFill="1" applyBorder="1" applyAlignment="1">
      <alignment horizontal="left" wrapText="1"/>
    </xf>
    <xf numFmtId="3" fontId="125" fillId="28" borderId="38" xfId="0" applyNumberFormat="1" applyFont="1" applyFill="1" applyBorder="1" applyAlignment="1">
      <alignment wrapText="1"/>
    </xf>
    <xf numFmtId="0" fontId="125" fillId="28" borderId="38" xfId="0" applyFont="1" applyFill="1" applyBorder="1" applyAlignment="1">
      <alignment horizontal="justify" wrapText="1"/>
    </xf>
    <xf numFmtId="0" fontId="125" fillId="28" borderId="40" xfId="0" applyFont="1" applyFill="1" applyBorder="1" applyAlignment="1">
      <alignment horizontal="justify" wrapText="1"/>
    </xf>
    <xf numFmtId="3" fontId="125" fillId="28" borderId="40" xfId="0" applyNumberFormat="1" applyFont="1" applyFill="1" applyBorder="1" applyAlignment="1">
      <alignment wrapText="1"/>
    </xf>
    <xf numFmtId="3" fontId="154" fillId="0" borderId="16" xfId="0" applyNumberFormat="1" applyFont="1" applyBorder="1" applyAlignment="1">
      <alignment horizontal="left"/>
    </xf>
    <xf numFmtId="0" fontId="130" fillId="0" borderId="23" xfId="0" applyFont="1" applyBorder="1" applyAlignment="1">
      <alignment horizontal="center"/>
    </xf>
    <xf numFmtId="0" fontId="130" fillId="0" borderId="19" xfId="0" applyFont="1" applyBorder="1" applyAlignment="1">
      <alignment horizontal="center"/>
    </xf>
    <xf numFmtId="0" fontId="125" fillId="28" borderId="38" xfId="0" applyFont="1" applyFill="1" applyBorder="1" applyAlignment="1">
      <alignment horizontal="justify"/>
    </xf>
    <xf numFmtId="0" fontId="130" fillId="27" borderId="45" xfId="0" applyFont="1" applyFill="1" applyBorder="1" applyAlignment="1">
      <alignment horizontal="center"/>
    </xf>
    <xf numFmtId="0" fontId="130" fillId="0" borderId="53" xfId="0" applyFont="1" applyBorder="1" applyAlignment="1">
      <alignment horizontal="center"/>
    </xf>
    <xf numFmtId="0" fontId="130" fillId="0" borderId="94" xfId="0" applyFont="1" applyBorder="1" applyAlignment="1">
      <alignment horizontal="center"/>
    </xf>
    <xf numFmtId="0" fontId="130" fillId="0" borderId="43" xfId="0" applyFont="1" applyBorder="1" applyAlignment="1">
      <alignment horizontal="center"/>
    </xf>
    <xf numFmtId="0" fontId="130" fillId="27" borderId="61" xfId="0" applyFont="1" applyFill="1" applyBorder="1" applyAlignment="1">
      <alignment horizontal="center"/>
    </xf>
    <xf numFmtId="0" fontId="130" fillId="0" borderId="28" xfId="0" applyFont="1" applyBorder="1" applyAlignment="1">
      <alignment horizontal="center"/>
    </xf>
    <xf numFmtId="3" fontId="130" fillId="0" borderId="48" xfId="0" applyNumberFormat="1" applyFont="1" applyBorder="1"/>
    <xf numFmtId="2" fontId="130" fillId="0" borderId="60" xfId="0" applyNumberFormat="1" applyFont="1" applyBorder="1"/>
    <xf numFmtId="0" fontId="125" fillId="28" borderId="96" xfId="0" applyFont="1" applyFill="1" applyBorder="1" applyAlignment="1">
      <alignment horizontal="left"/>
    </xf>
    <xf numFmtId="0" fontId="125" fillId="28" borderId="42" xfId="0" applyFont="1" applyFill="1" applyBorder="1" applyAlignment="1">
      <alignment horizontal="left"/>
    </xf>
    <xf numFmtId="0" fontId="125" fillId="28" borderId="42" xfId="0" applyFont="1" applyFill="1" applyBorder="1" applyAlignment="1">
      <alignment horizontal="left" wrapText="1"/>
    </xf>
    <xf numFmtId="0" fontId="125" fillId="28" borderId="97" xfId="0" applyFont="1" applyFill="1" applyBorder="1"/>
    <xf numFmtId="3" fontId="130" fillId="0" borderId="23" xfId="0" applyNumberFormat="1" applyFont="1" applyBorder="1" applyAlignment="1">
      <alignment horizontal="centerContinuous"/>
    </xf>
    <xf numFmtId="0" fontId="130" fillId="0" borderId="27" xfId="0" applyFont="1" applyBorder="1" applyAlignment="1">
      <alignment horizontal="center"/>
    </xf>
    <xf numFmtId="3" fontId="130" fillId="0" borderId="43" xfId="0" applyNumberFormat="1" applyFont="1" applyBorder="1" applyAlignment="1">
      <alignment horizontal="center"/>
    </xf>
    <xf numFmtId="3" fontId="82" fillId="0" borderId="15" xfId="77" applyNumberFormat="1" applyFont="1" applyBorder="1" applyAlignment="1">
      <alignment horizontal="right"/>
    </xf>
    <xf numFmtId="0" fontId="125" fillId="0" borderId="0" xfId="78" applyFont="1"/>
    <xf numFmtId="0" fontId="125" fillId="0" borderId="0" xfId="78" applyFont="1" applyAlignment="1">
      <alignment horizontal="right"/>
    </xf>
    <xf numFmtId="0" fontId="130" fillId="0" borderId="77" xfId="78" applyFont="1" applyBorder="1" applyAlignment="1">
      <alignment horizontal="center"/>
    </xf>
    <xf numFmtId="0" fontId="125" fillId="0" borderId="139" xfId="78" applyFont="1" applyBorder="1" applyAlignment="1">
      <alignment horizontal="center" vertical="center"/>
    </xf>
    <xf numFmtId="0" fontId="125" fillId="0" borderId="139" xfId="78" applyFont="1" applyBorder="1" applyAlignment="1">
      <alignment wrapText="1"/>
    </xf>
    <xf numFmtId="3" fontId="125" fillId="0" borderId="139" xfId="78" applyNumberFormat="1" applyFont="1" applyBorder="1"/>
    <xf numFmtId="0" fontId="125" fillId="0" borderId="69" xfId="78" applyFont="1" applyBorder="1" applyAlignment="1">
      <alignment horizontal="center" vertical="center"/>
    </xf>
    <xf numFmtId="0" fontId="125" fillId="0" borderId="0" xfId="78" applyFont="1" applyAlignment="1">
      <alignment wrapText="1"/>
    </xf>
    <xf numFmtId="3" fontId="125" fillId="0" borderId="69" xfId="78" applyNumberFormat="1" applyFont="1" applyBorder="1"/>
    <xf numFmtId="0" fontId="125" fillId="0" borderId="89" xfId="78" applyFont="1" applyBorder="1" applyAlignment="1">
      <alignment horizontal="center" vertical="center"/>
    </xf>
    <xf numFmtId="0" fontId="125" fillId="0" borderId="104" xfId="78" applyFont="1" applyBorder="1" applyAlignment="1">
      <alignment wrapText="1"/>
    </xf>
    <xf numFmtId="3" fontId="125" fillId="0" borderId="89" xfId="78" applyNumberFormat="1" applyFont="1" applyBorder="1"/>
    <xf numFmtId="49" fontId="125" fillId="0" borderId="0" xfId="78" applyNumberFormat="1" applyFont="1"/>
    <xf numFmtId="0" fontId="125" fillId="0" borderId="78" xfId="78" applyFont="1" applyBorder="1" applyAlignment="1">
      <alignment horizontal="center" vertical="center"/>
    </xf>
    <xf numFmtId="0" fontId="125" fillId="0" borderId="24" xfId="78" applyFont="1" applyBorder="1" applyAlignment="1">
      <alignment wrapText="1"/>
    </xf>
    <xf numFmtId="3" fontId="125" fillId="0" borderId="78" xfId="78" applyNumberFormat="1" applyFont="1" applyBorder="1"/>
    <xf numFmtId="0" fontId="125" fillId="0" borderId="77" xfId="78" applyFont="1" applyBorder="1"/>
    <xf numFmtId="0" fontId="130" fillId="0" borderId="93" xfId="78" applyFont="1" applyBorder="1"/>
    <xf numFmtId="3" fontId="130" fillId="0" borderId="77" xfId="78" applyNumberFormat="1" applyFont="1" applyBorder="1"/>
    <xf numFmtId="0" fontId="180" fillId="0" borderId="0" xfId="78" applyFont="1"/>
    <xf numFmtId="0" fontId="125" fillId="0" borderId="32" xfId="93" applyFont="1" applyBorder="1" applyAlignment="1">
      <alignment horizontal="center"/>
    </xf>
    <xf numFmtId="0" fontId="125" fillId="0" borderId="58" xfId="93" applyFont="1" applyBorder="1" applyAlignment="1">
      <alignment horizontal="center"/>
    </xf>
    <xf numFmtId="0" fontId="130" fillId="0" borderId="43" xfId="93" applyFont="1" applyBorder="1" applyAlignment="1">
      <alignment horizontal="center"/>
    </xf>
    <xf numFmtId="0" fontId="130" fillId="0" borderId="54" xfId="93" applyFont="1" applyBorder="1" applyAlignment="1">
      <alignment horizontal="center"/>
    </xf>
    <xf numFmtId="3" fontId="125" fillId="0" borderId="91" xfId="93" applyNumberFormat="1" applyFont="1" applyBorder="1"/>
    <xf numFmtId="3" fontId="125" fillId="0" borderId="101" xfId="93" applyNumberFormat="1" applyFont="1" applyBorder="1"/>
    <xf numFmtId="3" fontId="125" fillId="0" borderId="100" xfId="93" applyNumberFormat="1" applyFont="1" applyBorder="1"/>
    <xf numFmtId="3" fontId="125" fillId="0" borderId="24" xfId="93" applyNumberFormat="1" applyFont="1" applyBorder="1"/>
    <xf numFmtId="3" fontId="125" fillId="0" borderId="32" xfId="93" applyNumberFormat="1" applyFont="1" applyBorder="1"/>
    <xf numFmtId="3" fontId="125" fillId="0" borderId="88" xfId="93" applyNumberFormat="1" applyFont="1" applyBorder="1"/>
    <xf numFmtId="3" fontId="125" fillId="0" borderId="43" xfId="93" applyNumberFormat="1" applyFont="1" applyBorder="1"/>
    <xf numFmtId="3" fontId="125" fillId="0" borderId="54" xfId="93" applyNumberFormat="1" applyFont="1" applyBorder="1"/>
    <xf numFmtId="0" fontId="125" fillId="0" borderId="133" xfId="93" applyFont="1" applyBorder="1" applyAlignment="1">
      <alignment horizontal="left"/>
    </xf>
    <xf numFmtId="0" fontId="125" fillId="0" borderId="122" xfId="93" applyFont="1" applyBorder="1" applyAlignment="1">
      <alignment horizontal="left"/>
    </xf>
    <xf numFmtId="3" fontId="125" fillId="0" borderId="133" xfId="93" applyNumberFormat="1" applyFont="1" applyBorder="1"/>
    <xf numFmtId="3" fontId="125" fillId="0" borderId="129" xfId="93" applyNumberFormat="1" applyFont="1" applyBorder="1"/>
    <xf numFmtId="3" fontId="125" fillId="0" borderId="120" xfId="93" applyNumberFormat="1" applyFont="1" applyBorder="1"/>
    <xf numFmtId="0" fontId="125" fillId="0" borderId="0" xfId="93" applyFont="1"/>
    <xf numFmtId="0" fontId="125" fillId="0" borderId="32" xfId="93" applyFont="1" applyBorder="1"/>
    <xf numFmtId="0" fontId="125" fillId="0" borderId="141" xfId="93" applyFont="1" applyBorder="1"/>
    <xf numFmtId="0" fontId="125" fillId="0" borderId="0" xfId="93" applyFont="1" applyAlignment="1">
      <alignment vertical="center"/>
    </xf>
    <xf numFmtId="0" fontId="125" fillId="0" borderId="55" xfId="93" applyFont="1" applyBorder="1"/>
    <xf numFmtId="3" fontId="125" fillId="0" borderId="0" xfId="93" applyNumberFormat="1" applyFont="1"/>
    <xf numFmtId="3" fontId="125" fillId="0" borderId="15" xfId="93" applyNumberFormat="1" applyFont="1" applyBorder="1"/>
    <xf numFmtId="3" fontId="125" fillId="0" borderId="86" xfId="93" applyNumberFormat="1" applyFont="1" applyBorder="1"/>
    <xf numFmtId="0" fontId="125" fillId="0" borderId="0" xfId="93" applyFont="1" applyAlignment="1">
      <alignment horizontal="left" vertical="center"/>
    </xf>
    <xf numFmtId="3" fontId="125" fillId="0" borderId="49" xfId="93" applyNumberFormat="1" applyFont="1" applyBorder="1"/>
    <xf numFmtId="0" fontId="125" fillId="0" borderId="91" xfId="93" applyFont="1" applyBorder="1" applyAlignment="1">
      <alignment horizontal="left" vertical="center"/>
    </xf>
    <xf numFmtId="0" fontId="125" fillId="0" borderId="101" xfId="93" applyFont="1" applyBorder="1"/>
    <xf numFmtId="0" fontId="125" fillId="0" borderId="15" xfId="93" applyFont="1" applyBorder="1"/>
    <xf numFmtId="0" fontId="125" fillId="0" borderId="82" xfId="93" applyFont="1" applyBorder="1"/>
    <xf numFmtId="0" fontId="125" fillId="0" borderId="61" xfId="93" applyFont="1" applyBorder="1"/>
    <xf numFmtId="0" fontId="125" fillId="0" borderId="99" xfId="93" applyFont="1" applyBorder="1"/>
    <xf numFmtId="3" fontId="125" fillId="0" borderId="16" xfId="93" applyNumberFormat="1" applyFont="1" applyBorder="1"/>
    <xf numFmtId="3" fontId="125" fillId="0" borderId="61" xfId="93" applyNumberFormat="1" applyFont="1" applyBorder="1"/>
    <xf numFmtId="3" fontId="125" fillId="0" borderId="84" xfId="93" applyNumberFormat="1" applyFont="1" applyBorder="1"/>
    <xf numFmtId="3" fontId="84" fillId="0" borderId="0" xfId="0" applyNumberFormat="1" applyFont="1"/>
    <xf numFmtId="0" fontId="81" fillId="0" borderId="37" xfId="0" applyFont="1" applyBorder="1"/>
    <xf numFmtId="3" fontId="82" fillId="0" borderId="98" xfId="0" applyNumberFormat="1" applyFont="1" applyBorder="1"/>
    <xf numFmtId="0" fontId="82" fillId="0" borderId="91" xfId="0" applyFont="1" applyBorder="1"/>
    <xf numFmtId="3" fontId="82" fillId="0" borderId="91" xfId="0" applyNumberFormat="1" applyFont="1" applyBorder="1"/>
    <xf numFmtId="3" fontId="126" fillId="0" borderId="15" xfId="0" applyNumberFormat="1" applyFont="1" applyBorder="1"/>
    <xf numFmtId="2" fontId="126" fillId="0" borderId="102" xfId="0" applyNumberFormat="1" applyFont="1" applyBorder="1"/>
    <xf numFmtId="3" fontId="126" fillId="0" borderId="36" xfId="0" applyNumberFormat="1" applyFont="1" applyBorder="1"/>
    <xf numFmtId="2" fontId="126" fillId="0" borderId="68" xfId="0" applyNumberFormat="1" applyFont="1" applyBorder="1"/>
    <xf numFmtId="3" fontId="82" fillId="0" borderId="0" xfId="0" applyNumberFormat="1" applyFont="1" applyAlignment="1">
      <alignment horizontal="right"/>
    </xf>
    <xf numFmtId="3" fontId="82" fillId="0" borderId="37" xfId="0" applyNumberFormat="1" applyFont="1" applyBorder="1"/>
    <xf numFmtId="3" fontId="84" fillId="0" borderId="37" xfId="0" applyNumberFormat="1" applyFont="1" applyBorder="1" applyAlignment="1">
      <alignment horizontal="left"/>
    </xf>
    <xf numFmtId="3" fontId="81" fillId="0" borderId="37" xfId="0" applyNumberFormat="1" applyFont="1" applyBorder="1"/>
    <xf numFmtId="3" fontId="81" fillId="0" borderId="37" xfId="0" applyNumberFormat="1" applyFont="1" applyBorder="1" applyAlignment="1">
      <alignment horizontal="left"/>
    </xf>
    <xf numFmtId="0" fontId="81" fillId="0" borderId="50" xfId="0" applyFont="1" applyBorder="1"/>
    <xf numFmtId="0" fontId="81" fillId="0" borderId="50" xfId="0" applyFont="1" applyBorder="1" applyAlignment="1">
      <alignment wrapText="1"/>
    </xf>
    <xf numFmtId="0" fontId="124" fillId="27" borderId="45" xfId="0" applyFont="1" applyFill="1" applyBorder="1" applyAlignment="1">
      <alignment horizontal="center"/>
    </xf>
    <xf numFmtId="0" fontId="124" fillId="27" borderId="53" xfId="0" applyFont="1" applyFill="1" applyBorder="1" applyAlignment="1">
      <alignment horizontal="center"/>
    </xf>
    <xf numFmtId="0" fontId="124" fillId="0" borderId="43" xfId="0" applyFont="1" applyBorder="1" applyAlignment="1">
      <alignment horizontal="center"/>
    </xf>
    <xf numFmtId="0" fontId="124" fillId="27" borderId="61" xfId="0" applyFont="1" applyFill="1" applyBorder="1" applyAlignment="1">
      <alignment horizontal="center"/>
    </xf>
    <xf numFmtId="0" fontId="124" fillId="27" borderId="84" xfId="0" applyFont="1" applyFill="1" applyBorder="1" applyAlignment="1">
      <alignment horizontal="center"/>
    </xf>
    <xf numFmtId="3" fontId="126" fillId="0" borderId="15" xfId="0" applyNumberFormat="1" applyFont="1" applyBorder="1" applyAlignment="1">
      <alignment horizontal="right"/>
    </xf>
    <xf numFmtId="4" fontId="126" fillId="0" borderId="102" xfId="0" applyNumberFormat="1" applyFont="1" applyBorder="1" applyAlignment="1">
      <alignment horizontal="right"/>
    </xf>
    <xf numFmtId="3" fontId="126" fillId="0" borderId="36" xfId="0" applyNumberFormat="1" applyFont="1" applyBorder="1" applyAlignment="1">
      <alignment horizontal="right"/>
    </xf>
    <xf numFmtId="4" fontId="126" fillId="0" borderId="68" xfId="0" applyNumberFormat="1" applyFont="1" applyBorder="1" applyAlignment="1">
      <alignment horizontal="right"/>
    </xf>
    <xf numFmtId="3" fontId="126" fillId="0" borderId="51" xfId="0" applyNumberFormat="1" applyFont="1" applyBorder="1"/>
    <xf numFmtId="3" fontId="126" fillId="0" borderId="92" xfId="0" applyNumberFormat="1" applyFont="1" applyBorder="1"/>
    <xf numFmtId="3" fontId="126" fillId="29" borderId="51" xfId="0" applyNumberFormat="1" applyFont="1" applyFill="1" applyBorder="1"/>
    <xf numFmtId="4" fontId="126" fillId="0" borderId="59" xfId="0" applyNumberFormat="1" applyFont="1" applyBorder="1" applyAlignment="1">
      <alignment horizontal="right"/>
    </xf>
    <xf numFmtId="3" fontId="124" fillId="0" borderId="21" xfId="0" applyNumberFormat="1" applyFont="1" applyBorder="1"/>
    <xf numFmtId="4" fontId="126" fillId="0" borderId="60" xfId="0" applyNumberFormat="1" applyFont="1" applyBorder="1" applyAlignment="1">
      <alignment horizontal="right"/>
    </xf>
    <xf numFmtId="3" fontId="124" fillId="0" borderId="61" xfId="0" applyNumberFormat="1" applyFont="1" applyBorder="1"/>
    <xf numFmtId="4" fontId="124" fillId="0" borderId="84" xfId="0" applyNumberFormat="1" applyFont="1" applyBorder="1"/>
    <xf numFmtId="4" fontId="124" fillId="27" borderId="27" xfId="0" applyNumberFormat="1" applyFont="1" applyFill="1" applyBorder="1" applyAlignment="1">
      <alignment horizontal="center"/>
    </xf>
    <xf numFmtId="0" fontId="124" fillId="0" borderId="55" xfId="0" applyFont="1" applyBorder="1" applyAlignment="1">
      <alignment horizontal="center"/>
    </xf>
    <xf numFmtId="0" fontId="124" fillId="27" borderId="15" xfId="0" applyFont="1" applyFill="1" applyBorder="1" applyAlignment="1">
      <alignment horizontal="center"/>
    </xf>
    <xf numFmtId="4" fontId="124" fillId="27" borderId="59" xfId="0" applyNumberFormat="1" applyFont="1" applyFill="1" applyBorder="1" applyAlignment="1">
      <alignment horizontal="center"/>
    </xf>
    <xf numFmtId="0" fontId="124" fillId="0" borderId="61" xfId="0" applyFont="1" applyBorder="1" applyAlignment="1">
      <alignment horizontal="center"/>
    </xf>
    <xf numFmtId="4" fontId="124" fillId="0" borderId="84" xfId="0" applyNumberFormat="1" applyFont="1" applyBorder="1" applyAlignment="1">
      <alignment horizontal="center"/>
    </xf>
    <xf numFmtId="0" fontId="124" fillId="0" borderId="15" xfId="0" applyFont="1" applyBorder="1" applyAlignment="1">
      <alignment horizontal="center"/>
    </xf>
    <xf numFmtId="4" fontId="124" fillId="0" borderId="86" xfId="0" applyNumberFormat="1" applyFont="1" applyBorder="1" applyAlignment="1">
      <alignment horizontal="center"/>
    </xf>
    <xf numFmtId="3" fontId="124" fillId="0" borderId="21" xfId="0" applyNumberFormat="1" applyFont="1" applyBorder="1" applyAlignment="1">
      <alignment horizontal="right"/>
    </xf>
    <xf numFmtId="4" fontId="124" fillId="0" borderId="81" xfId="0" applyNumberFormat="1" applyFont="1" applyBorder="1"/>
    <xf numFmtId="3" fontId="124" fillId="0" borderId="32" xfId="0" applyNumberFormat="1" applyFont="1" applyBorder="1" applyAlignment="1">
      <alignment horizontal="right"/>
    </xf>
    <xf numFmtId="4" fontId="124" fillId="0" borderId="54" xfId="0" applyNumberFormat="1" applyFont="1" applyBorder="1"/>
    <xf numFmtId="3" fontId="124" fillId="0" borderId="45" xfId="0" applyNumberFormat="1" applyFont="1" applyBorder="1"/>
    <xf numFmtId="4" fontId="124" fillId="0" borderId="46" xfId="0" applyNumberFormat="1" applyFont="1" applyBorder="1"/>
    <xf numFmtId="4" fontId="124" fillId="0" borderId="53" xfId="0" applyNumberFormat="1" applyFont="1" applyBorder="1"/>
    <xf numFmtId="4" fontId="126" fillId="0" borderId="67" xfId="0" applyNumberFormat="1" applyFont="1" applyBorder="1" applyAlignment="1">
      <alignment horizontal="right"/>
    </xf>
    <xf numFmtId="3" fontId="126" fillId="0" borderId="61" xfId="0" applyNumberFormat="1" applyFont="1" applyBorder="1"/>
    <xf numFmtId="4" fontId="126" fillId="0" borderId="84" xfId="0" applyNumberFormat="1" applyFont="1" applyBorder="1"/>
    <xf numFmtId="2" fontId="126" fillId="0" borderId="71" xfId="0" applyNumberFormat="1" applyFont="1" applyBorder="1"/>
    <xf numFmtId="3" fontId="126" fillId="0" borderId="86" xfId="0" applyNumberFormat="1" applyFont="1" applyBorder="1"/>
    <xf numFmtId="3" fontId="124" fillId="0" borderId="101" xfId="0" applyNumberFormat="1" applyFont="1" applyBorder="1"/>
    <xf numFmtId="3" fontId="124" fillId="0" borderId="100" xfId="0" applyNumberFormat="1" applyFont="1" applyBorder="1"/>
    <xf numFmtId="3" fontId="124" fillId="0" borderId="43" xfId="0" applyNumberFormat="1" applyFont="1" applyBorder="1"/>
    <xf numFmtId="4" fontId="124" fillId="0" borderId="80" xfId="0" applyNumberFormat="1" applyFont="1" applyBorder="1"/>
    <xf numFmtId="3" fontId="124" fillId="0" borderId="16" xfId="0" applyNumberFormat="1" applyFont="1" applyBorder="1" applyAlignment="1">
      <alignment horizontal="center"/>
    </xf>
    <xf numFmtId="4" fontId="126" fillId="0" borderId="102" xfId="0" applyNumberFormat="1" applyFont="1" applyBorder="1"/>
    <xf numFmtId="4" fontId="126" fillId="0" borderId="68" xfId="0" applyNumberFormat="1" applyFont="1" applyBorder="1"/>
    <xf numFmtId="0" fontId="124" fillId="0" borderId="86" xfId="0" applyFont="1" applyBorder="1" applyAlignment="1">
      <alignment horizontal="center"/>
    </xf>
    <xf numFmtId="0" fontId="124" fillId="0" borderId="0" xfId="0" applyFont="1" applyAlignment="1">
      <alignment horizontal="center"/>
    </xf>
    <xf numFmtId="3" fontId="124" fillId="0" borderId="46" xfId="0" applyNumberFormat="1" applyFont="1" applyBorder="1"/>
    <xf numFmtId="3" fontId="124" fillId="0" borderId="116" xfId="0" applyNumberFormat="1" applyFont="1" applyBorder="1"/>
    <xf numFmtId="3" fontId="124" fillId="0" borderId="102" xfId="0" applyNumberFormat="1" applyFont="1" applyBorder="1"/>
    <xf numFmtId="3" fontId="126" fillId="0" borderId="110" xfId="77" applyNumberFormat="1" applyFont="1" applyBorder="1" applyAlignment="1">
      <alignment horizontal="right"/>
    </xf>
    <xf numFmtId="4" fontId="126" fillId="0" borderId="67" xfId="0" applyNumberFormat="1" applyFont="1" applyBorder="1"/>
    <xf numFmtId="3" fontId="124" fillId="0" borderId="15" xfId="0" applyNumberFormat="1" applyFont="1" applyBorder="1"/>
    <xf numFmtId="3" fontId="124" fillId="0" borderId="86" xfId="0" applyNumberFormat="1" applyFont="1" applyBorder="1"/>
    <xf numFmtId="3" fontId="126" fillId="0" borderId="84" xfId="0" applyNumberFormat="1" applyFont="1" applyBorder="1"/>
    <xf numFmtId="3" fontId="126" fillId="0" borderId="0" xfId="0" applyNumberFormat="1" applyFont="1"/>
    <xf numFmtId="3" fontId="81" fillId="0" borderId="18" xfId="0" applyNumberFormat="1" applyFont="1" applyBorder="1" applyAlignment="1">
      <alignment horizontal="left"/>
    </xf>
    <xf numFmtId="3" fontId="81" fillId="0" borderId="0" xfId="0" applyNumberFormat="1" applyFont="1" applyAlignment="1">
      <alignment horizontal="centerContinuous"/>
    </xf>
    <xf numFmtId="3" fontId="81" fillId="0" borderId="40" xfId="0" applyNumberFormat="1" applyFont="1" applyBorder="1" applyAlignment="1">
      <alignment horizontal="left"/>
    </xf>
    <xf numFmtId="3" fontId="81" fillId="0" borderId="37" xfId="0" applyNumberFormat="1" applyFont="1" applyBorder="1" applyAlignment="1">
      <alignment horizontal="centerContinuous"/>
    </xf>
    <xf numFmtId="0" fontId="81" fillId="0" borderId="40" xfId="0" applyFont="1" applyBorder="1" applyAlignment="1">
      <alignment horizontal="left"/>
    </xf>
    <xf numFmtId="3" fontId="81" fillId="0" borderId="37" xfId="0" applyNumberFormat="1" applyFont="1" applyBorder="1" applyAlignment="1">
      <alignment horizontal="right"/>
    </xf>
    <xf numFmtId="3" fontId="81" fillId="0" borderId="18" xfId="0" applyNumberFormat="1" applyFont="1" applyBorder="1" applyAlignment="1">
      <alignment horizontal="centerContinuous"/>
    </xf>
    <xf numFmtId="3" fontId="82" fillId="0" borderId="18" xfId="0" applyNumberFormat="1" applyFont="1" applyBorder="1" applyAlignment="1">
      <alignment horizontal="centerContinuous"/>
    </xf>
    <xf numFmtId="3" fontId="82" fillId="0" borderId="0" xfId="0" applyNumberFormat="1" applyFont="1" applyAlignment="1">
      <alignment horizontal="centerContinuous"/>
    </xf>
    <xf numFmtId="3" fontId="82" fillId="0" borderId="18" xfId="0" applyNumberFormat="1" applyFont="1" applyBorder="1" applyAlignment="1">
      <alignment horizontal="left"/>
    </xf>
    <xf numFmtId="3" fontId="81" fillId="0" borderId="0" xfId="0" applyNumberFormat="1" applyFont="1" applyAlignment="1">
      <alignment horizontal="center"/>
    </xf>
    <xf numFmtId="0" fontId="81" fillId="0" borderId="0" xfId="77" applyFont="1" applyAlignment="1">
      <alignment horizontal="left"/>
    </xf>
    <xf numFmtId="3" fontId="82" fillId="0" borderId="25" xfId="0" applyNumberFormat="1" applyFont="1" applyBorder="1"/>
    <xf numFmtId="0" fontId="81" fillId="0" borderId="37" xfId="77" applyFont="1" applyBorder="1" applyAlignment="1">
      <alignment horizontal="justify"/>
    </xf>
    <xf numFmtId="0" fontId="81" fillId="0" borderId="50" xfId="77" applyFont="1" applyBorder="1" applyAlignment="1">
      <alignment horizontal="justify"/>
    </xf>
    <xf numFmtId="3" fontId="82" fillId="0" borderId="19" xfId="0" applyNumberFormat="1" applyFont="1" applyBorder="1"/>
    <xf numFmtId="3" fontId="82" fillId="0" borderId="37" xfId="0" applyNumberFormat="1" applyFont="1" applyBorder="1" applyAlignment="1">
      <alignment horizontal="right"/>
    </xf>
    <xf numFmtId="0" fontId="82" fillId="0" borderId="49" xfId="0" applyFont="1" applyBorder="1"/>
    <xf numFmtId="3" fontId="82" fillId="0" borderId="24" xfId="0" applyNumberFormat="1" applyFont="1" applyBorder="1" applyAlignment="1">
      <alignment horizontal="right"/>
    </xf>
    <xf numFmtId="3" fontId="82" fillId="0" borderId="47" xfId="0" applyNumberFormat="1" applyFont="1" applyBorder="1" applyAlignment="1">
      <alignment horizontal="left"/>
    </xf>
    <xf numFmtId="3" fontId="85" fillId="0" borderId="40" xfId="0" applyNumberFormat="1" applyFont="1" applyBorder="1" applyAlignment="1">
      <alignment horizontal="left"/>
    </xf>
    <xf numFmtId="3" fontId="85" fillId="0" borderId="37" xfId="0" applyNumberFormat="1" applyFont="1" applyBorder="1" applyAlignment="1">
      <alignment horizontal="left"/>
    </xf>
    <xf numFmtId="0" fontId="81" fillId="0" borderId="39" xfId="0" applyFont="1" applyBorder="1"/>
    <xf numFmtId="3" fontId="82" fillId="0" borderId="37" xfId="0" applyNumberFormat="1" applyFont="1" applyBorder="1" applyAlignment="1">
      <alignment horizontal="left"/>
    </xf>
    <xf numFmtId="3" fontId="82" fillId="0" borderId="23" xfId="0" applyNumberFormat="1" applyFont="1" applyBorder="1" applyAlignment="1">
      <alignment horizontal="left"/>
    </xf>
    <xf numFmtId="0" fontId="81" fillId="0" borderId="19" xfId="0" applyFont="1" applyBorder="1" applyAlignment="1">
      <alignment horizontal="left"/>
    </xf>
    <xf numFmtId="0" fontId="124" fillId="27" borderId="46" xfId="0" applyFont="1" applyFill="1" applyBorder="1" applyAlignment="1">
      <alignment horizontal="center"/>
    </xf>
    <xf numFmtId="0" fontId="124" fillId="27" borderId="0" xfId="0" applyFont="1" applyFill="1" applyAlignment="1">
      <alignment horizontal="center"/>
    </xf>
    <xf numFmtId="0" fontId="124" fillId="0" borderId="16" xfId="0" applyFont="1" applyBorder="1" applyAlignment="1">
      <alignment horizontal="center"/>
    </xf>
    <xf numFmtId="0" fontId="81" fillId="0" borderId="19" xfId="0" applyFont="1" applyBorder="1"/>
    <xf numFmtId="0" fontId="124" fillId="27" borderId="16" xfId="0" applyFont="1" applyFill="1" applyBorder="1" applyAlignment="1">
      <alignment horizontal="center"/>
    </xf>
    <xf numFmtId="3" fontId="82" fillId="0" borderId="19" xfId="0" applyNumberFormat="1" applyFont="1" applyBorder="1" applyAlignment="1">
      <alignment horizontal="left"/>
    </xf>
    <xf numFmtId="0" fontId="130" fillId="0" borderId="18" xfId="77" applyFont="1" applyBorder="1"/>
    <xf numFmtId="0" fontId="125" fillId="0" borderId="0" xfId="77" applyFont="1" applyAlignment="1">
      <alignment horizontal="center"/>
    </xf>
    <xf numFmtId="0" fontId="154" fillId="0" borderId="18" xfId="77" applyFont="1" applyBorder="1"/>
    <xf numFmtId="0" fontId="154" fillId="0" borderId="24" xfId="77" applyFont="1" applyBorder="1" applyAlignment="1">
      <alignment horizontal="left"/>
    </xf>
    <xf numFmtId="0" fontId="154" fillId="0" borderId="112" xfId="77" applyFont="1" applyBorder="1" applyAlignment="1">
      <alignment horizontal="left"/>
    </xf>
    <xf numFmtId="3" fontId="125" fillId="0" borderId="18" xfId="77" applyNumberFormat="1" applyFont="1" applyBorder="1"/>
    <xf numFmtId="0" fontId="130" fillId="0" borderId="95" xfId="77" applyFont="1" applyBorder="1" applyAlignment="1">
      <alignment horizontal="justify"/>
    </xf>
    <xf numFmtId="3" fontId="154" fillId="0" borderId="18" xfId="77" applyNumberFormat="1" applyFont="1" applyBorder="1"/>
    <xf numFmtId="0" fontId="125" fillId="0" borderId="50" xfId="77" applyFont="1" applyBorder="1" applyAlignment="1">
      <alignment horizontal="left" wrapText="1"/>
    </xf>
    <xf numFmtId="0" fontId="125" fillId="0" borderId="18" xfId="77" applyFont="1" applyBorder="1" applyAlignment="1">
      <alignment horizontal="right"/>
    </xf>
    <xf numFmtId="0" fontId="125" fillId="0" borderId="37" xfId="0" applyFont="1" applyBorder="1" applyAlignment="1">
      <alignment wrapText="1"/>
    </xf>
    <xf numFmtId="0" fontId="125" fillId="0" borderId="37" xfId="77" applyFont="1" applyBorder="1" applyAlignment="1">
      <alignment horizontal="left" wrapText="1"/>
    </xf>
    <xf numFmtId="0" fontId="154" fillId="0" borderId="91" xfId="77" applyFont="1" applyBorder="1" applyAlignment="1">
      <alignment horizontal="left"/>
    </xf>
    <xf numFmtId="0" fontId="130" fillId="0" borderId="26" xfId="77" applyFont="1" applyBorder="1" applyAlignment="1">
      <alignment horizontal="left"/>
    </xf>
    <xf numFmtId="0" fontId="130" fillId="0" borderId="24" xfId="77" applyFont="1" applyBorder="1" applyAlignment="1">
      <alignment horizontal="left"/>
    </xf>
    <xf numFmtId="0" fontId="125" fillId="0" borderId="112" xfId="77" applyFont="1" applyBorder="1" applyAlignment="1">
      <alignment horizontal="center"/>
    </xf>
    <xf numFmtId="0" fontId="130" fillId="0" borderId="20" xfId="77" applyFont="1" applyBorder="1"/>
    <xf numFmtId="0" fontId="125" fillId="0" borderId="93" xfId="77" applyFont="1" applyBorder="1" applyAlignment="1">
      <alignment horizontal="center"/>
    </xf>
    <xf numFmtId="0" fontId="130" fillId="0" borderId="18" xfId="77" applyFont="1" applyBorder="1" applyAlignment="1">
      <alignment horizontal="left"/>
    </xf>
    <xf numFmtId="0" fontId="130" fillId="0" borderId="117" xfId="77" applyFont="1" applyBorder="1" applyAlignment="1">
      <alignment horizontal="center"/>
    </xf>
    <xf numFmtId="0" fontId="130" fillId="0" borderId="0" xfId="77" applyFont="1" applyAlignment="1">
      <alignment horizontal="justify"/>
    </xf>
    <xf numFmtId="0" fontId="125" fillId="0" borderId="37" xfId="77" applyFont="1" applyBorder="1" applyAlignment="1">
      <alignment horizontal="left"/>
    </xf>
    <xf numFmtId="0" fontId="130" fillId="0" borderId="37" xfId="77" applyFont="1" applyBorder="1" applyAlignment="1">
      <alignment horizontal="justify"/>
    </xf>
    <xf numFmtId="0" fontId="125" fillId="0" borderId="0" xfId="77" applyFont="1" applyAlignment="1">
      <alignment horizontal="left"/>
    </xf>
    <xf numFmtId="0" fontId="130" fillId="0" borderId="0" xfId="77" applyFont="1" applyAlignment="1">
      <alignment horizontal="left"/>
    </xf>
    <xf numFmtId="0" fontId="125" fillId="0" borderId="0" xfId="0" applyFont="1" applyAlignment="1">
      <alignment horizontal="left"/>
    </xf>
    <xf numFmtId="0" fontId="125" fillId="0" borderId="37" xfId="0" applyFont="1" applyBorder="1" applyAlignment="1">
      <alignment horizontal="left"/>
    </xf>
    <xf numFmtId="0" fontId="125" fillId="0" borderId="37" xfId="0" applyFont="1" applyBorder="1"/>
    <xf numFmtId="0" fontId="125" fillId="0" borderId="50" xfId="0" applyFont="1" applyBorder="1" applyAlignment="1">
      <alignment horizontal="left"/>
    </xf>
    <xf numFmtId="3" fontId="126" fillId="0" borderId="16" xfId="0" applyNumberFormat="1" applyFont="1" applyBorder="1"/>
    <xf numFmtId="4" fontId="126" fillId="0" borderId="16" xfId="0" applyNumberFormat="1" applyFont="1" applyBorder="1" applyAlignment="1">
      <alignment horizontal="right"/>
    </xf>
    <xf numFmtId="3" fontId="124" fillId="0" borderId="93" xfId="0" applyNumberFormat="1" applyFont="1" applyBorder="1"/>
    <xf numFmtId="3" fontId="125" fillId="0" borderId="46" xfId="0" applyNumberFormat="1" applyFont="1" applyBorder="1"/>
    <xf numFmtId="2" fontId="85" fillId="29" borderId="68" xfId="0" applyNumberFormat="1" applyFont="1" applyFill="1" applyBorder="1"/>
    <xf numFmtId="0" fontId="73" fillId="0" borderId="143" xfId="0" applyFont="1" applyBorder="1"/>
    <xf numFmtId="3" fontId="81" fillId="0" borderId="144" xfId="0" applyNumberFormat="1" applyFont="1" applyBorder="1"/>
    <xf numFmtId="3" fontId="85" fillId="0" borderId="144" xfId="0" applyNumberFormat="1" applyFont="1" applyBorder="1"/>
    <xf numFmtId="2" fontId="85" fillId="0" borderId="132" xfId="0" applyNumberFormat="1" applyFont="1" applyBorder="1"/>
    <xf numFmtId="0" fontId="73" fillId="0" borderId="108" xfId="0" applyFont="1" applyBorder="1"/>
    <xf numFmtId="3" fontId="85" fillId="0" borderId="116" xfId="0" applyNumberFormat="1" applyFont="1" applyBorder="1"/>
    <xf numFmtId="2" fontId="85" fillId="0" borderId="102" xfId="0" applyNumberFormat="1" applyFont="1" applyBorder="1"/>
    <xf numFmtId="0" fontId="73" fillId="28" borderId="40" xfId="0" applyFont="1" applyFill="1" applyBorder="1"/>
    <xf numFmtId="0" fontId="183" fillId="0" borderId="139" xfId="107" applyFont="1" applyBorder="1" applyAlignment="1">
      <alignment horizontal="center" wrapText="1"/>
    </xf>
    <xf numFmtId="0" fontId="183" fillId="0" borderId="130" xfId="107" applyFont="1" applyBorder="1" applyAlignment="1">
      <alignment horizontal="center" wrapText="1"/>
    </xf>
    <xf numFmtId="0" fontId="125" fillId="0" borderId="98" xfId="105" applyFont="1" applyBorder="1" applyAlignment="1">
      <alignment horizontal="left" wrapText="1"/>
    </xf>
    <xf numFmtId="0" fontId="125" fillId="0" borderId="98" xfId="105" applyFont="1" applyBorder="1" applyAlignment="1">
      <alignment horizontal="left"/>
    </xf>
    <xf numFmtId="0" fontId="125" fillId="0" borderId="98" xfId="105" applyFont="1" applyBorder="1"/>
    <xf numFmtId="0" fontId="130" fillId="0" borderId="18" xfId="105" applyFont="1" applyBorder="1"/>
    <xf numFmtId="0" fontId="125" fillId="0" borderId="26" xfId="105" applyFont="1" applyBorder="1"/>
    <xf numFmtId="3" fontId="181" fillId="0" borderId="0" xfId="108" applyNumberFormat="1" applyFont="1"/>
    <xf numFmtId="0" fontId="181" fillId="0" borderId="0" xfId="108" applyFont="1"/>
    <xf numFmtId="0" fontId="182" fillId="0" borderId="0" xfId="108" applyFont="1"/>
    <xf numFmtId="0" fontId="184" fillId="0" borderId="0" xfId="108" applyFont="1" applyAlignment="1">
      <alignment wrapText="1"/>
    </xf>
    <xf numFmtId="3" fontId="185" fillId="0" borderId="0" xfId="108" applyNumberFormat="1" applyFont="1" applyAlignment="1">
      <alignment horizontal="right"/>
    </xf>
    <xf numFmtId="3" fontId="185" fillId="0" borderId="0" xfId="108" applyNumberFormat="1" applyFont="1"/>
    <xf numFmtId="0" fontId="130" fillId="0" borderId="119" xfId="108" applyFont="1" applyBorder="1" applyAlignment="1">
      <alignment horizontal="center" wrapText="1"/>
    </xf>
    <xf numFmtId="0" fontId="130" fillId="0" borderId="57" xfId="108" applyFont="1" applyBorder="1" applyAlignment="1">
      <alignment wrapText="1"/>
    </xf>
    <xf numFmtId="0" fontId="184" fillId="0" borderId="98" xfId="108" applyFont="1" applyBorder="1" applyAlignment="1">
      <alignment wrapText="1"/>
    </xf>
    <xf numFmtId="0" fontId="184" fillId="0" borderId="26" xfId="108" applyFont="1" applyBorder="1" applyAlignment="1">
      <alignment wrapText="1"/>
    </xf>
    <xf numFmtId="0" fontId="184" fillId="0" borderId="18" xfId="108" applyFont="1" applyBorder="1" applyAlignment="1">
      <alignment wrapText="1"/>
    </xf>
    <xf numFmtId="0" fontId="130" fillId="30" borderId="145" xfId="108" applyFont="1" applyFill="1" applyBorder="1" applyAlignment="1">
      <alignment wrapText="1"/>
    </xf>
    <xf numFmtId="0" fontId="15" fillId="0" borderId="0" xfId="108" applyFont="1"/>
    <xf numFmtId="0" fontId="130" fillId="0" borderId="18" xfId="108" applyFont="1" applyBorder="1" applyAlignment="1">
      <alignment wrapText="1"/>
    </xf>
    <xf numFmtId="0" fontId="185" fillId="0" borderId="18" xfId="108" applyFont="1" applyBorder="1" applyAlignment="1">
      <alignment wrapText="1"/>
    </xf>
    <xf numFmtId="0" fontId="183" fillId="0" borderId="98" xfId="108" applyFont="1" applyBorder="1" applyAlignment="1">
      <alignment wrapText="1"/>
    </xf>
    <xf numFmtId="0" fontId="185" fillId="0" borderId="98" xfId="108" applyFont="1" applyBorder="1" applyAlignment="1">
      <alignment wrapText="1"/>
    </xf>
    <xf numFmtId="0" fontId="183" fillId="0" borderId="57" xfId="108" applyFont="1" applyBorder="1" applyAlignment="1">
      <alignment wrapText="1"/>
    </xf>
    <xf numFmtId="0" fontId="186" fillId="0" borderId="18" xfId="108" applyFont="1" applyBorder="1" applyAlignment="1">
      <alignment wrapText="1"/>
    </xf>
    <xf numFmtId="0" fontId="186" fillId="0" borderId="98" xfId="108" applyFont="1" applyBorder="1" applyAlignment="1">
      <alignment wrapText="1"/>
    </xf>
    <xf numFmtId="0" fontId="184" fillId="0" borderId="147" xfId="108" applyFont="1" applyBorder="1" applyAlignment="1">
      <alignment wrapText="1"/>
    </xf>
    <xf numFmtId="0" fontId="185" fillId="0" borderId="57" xfId="108" applyFont="1" applyBorder="1" applyAlignment="1">
      <alignment wrapText="1"/>
    </xf>
    <xf numFmtId="0" fontId="187" fillId="0" borderId="0" xfId="108" applyFont="1"/>
    <xf numFmtId="0" fontId="35" fillId="0" borderId="0" xfId="108" applyFont="1"/>
    <xf numFmtId="3" fontId="184" fillId="0" borderId="18" xfId="108" applyNumberFormat="1" applyFont="1" applyBorder="1"/>
    <xf numFmtId="0" fontId="186" fillId="0" borderId="26" xfId="108" applyFont="1" applyBorder="1" applyAlignment="1">
      <alignment wrapText="1"/>
    </xf>
    <xf numFmtId="0" fontId="185" fillId="0" borderId="145" xfId="108" applyFont="1" applyBorder="1" applyAlignment="1">
      <alignment wrapText="1"/>
    </xf>
    <xf numFmtId="0" fontId="185" fillId="0" borderId="147" xfId="108" applyFont="1" applyBorder="1" applyAlignment="1">
      <alignment wrapText="1"/>
    </xf>
    <xf numFmtId="0" fontId="185" fillId="0" borderId="150" xfId="108" applyFont="1" applyBorder="1" applyAlignment="1">
      <alignment wrapText="1"/>
    </xf>
    <xf numFmtId="0" fontId="185" fillId="0" borderId="153" xfId="108" applyFont="1" applyBorder="1" applyAlignment="1">
      <alignment wrapText="1"/>
    </xf>
    <xf numFmtId="0" fontId="184" fillId="0" borderId="26" xfId="108" applyFont="1" applyBorder="1" applyAlignment="1">
      <alignment horizontal="left" wrapText="1"/>
    </xf>
    <xf numFmtId="0" fontId="184" fillId="0" borderId="57" xfId="108" applyFont="1" applyBorder="1" applyAlignment="1">
      <alignment wrapText="1"/>
    </xf>
    <xf numFmtId="0" fontId="185" fillId="30" borderId="145" xfId="108" applyFont="1" applyFill="1" applyBorder="1" applyAlignment="1">
      <alignment wrapText="1"/>
    </xf>
    <xf numFmtId="0" fontId="185" fillId="30" borderId="154" xfId="108" applyFont="1" applyFill="1" applyBorder="1" applyAlignment="1">
      <alignment wrapText="1"/>
    </xf>
    <xf numFmtId="0" fontId="130" fillId="0" borderId="23" xfId="108" applyFont="1" applyBorder="1" applyAlignment="1">
      <alignment horizontal="center" wrapText="1"/>
    </xf>
    <xf numFmtId="3" fontId="130" fillId="30" borderId="145" xfId="108" applyNumberFormat="1" applyFont="1" applyFill="1" applyBorder="1" applyAlignment="1">
      <alignment wrapText="1"/>
    </xf>
    <xf numFmtId="3" fontId="130" fillId="0" borderId="18" xfId="108" applyNumberFormat="1" applyFont="1" applyBorder="1" applyAlignment="1">
      <alignment wrapText="1"/>
    </xf>
    <xf numFmtId="3" fontId="130" fillId="0" borderId="69" xfId="108" applyNumberFormat="1" applyFont="1" applyBorder="1"/>
    <xf numFmtId="3" fontId="130" fillId="0" borderId="86" xfId="108" applyNumberFormat="1" applyFont="1" applyBorder="1"/>
    <xf numFmtId="3" fontId="130" fillId="0" borderId="59" xfId="108" applyNumberFormat="1" applyFont="1" applyBorder="1"/>
    <xf numFmtId="3" fontId="130" fillId="0" borderId="115" xfId="108" applyNumberFormat="1" applyFont="1" applyBorder="1"/>
    <xf numFmtId="3" fontId="130" fillId="0" borderId="137" xfId="108" applyNumberFormat="1" applyFont="1" applyBorder="1"/>
    <xf numFmtId="3" fontId="130" fillId="0" borderId="78" xfId="108" applyNumberFormat="1" applyFont="1" applyBorder="1"/>
    <xf numFmtId="3" fontId="130" fillId="0" borderId="58" xfId="108" applyNumberFormat="1" applyFont="1" applyBorder="1"/>
    <xf numFmtId="0" fontId="182" fillId="0" borderId="0" xfId="108" applyFont="1" applyAlignment="1">
      <alignment wrapText="1"/>
    </xf>
    <xf numFmtId="0" fontId="130" fillId="0" borderId="0" xfId="105" applyFont="1"/>
    <xf numFmtId="0" fontId="184" fillId="0" borderId="0" xfId="108" applyFont="1"/>
    <xf numFmtId="3" fontId="185" fillId="0" borderId="89" xfId="108" applyNumberFormat="1" applyFont="1" applyBorder="1"/>
    <xf numFmtId="3" fontId="185" fillId="0" borderId="56" xfId="108" applyNumberFormat="1" applyFont="1" applyBorder="1"/>
    <xf numFmtId="3" fontId="185" fillId="0" borderId="115" xfId="108" applyNumberFormat="1" applyFont="1" applyBorder="1"/>
    <xf numFmtId="3" fontId="185" fillId="0" borderId="137" xfId="108" applyNumberFormat="1" applyFont="1" applyBorder="1"/>
    <xf numFmtId="3" fontId="185" fillId="0" borderId="78" xfId="108" applyNumberFormat="1" applyFont="1" applyBorder="1"/>
    <xf numFmtId="3" fontId="185" fillId="0" borderId="58" xfId="108" applyNumberFormat="1" applyFont="1" applyBorder="1"/>
    <xf numFmtId="3" fontId="130" fillId="30" borderId="146" xfId="108" applyNumberFormat="1" applyFont="1" applyFill="1" applyBorder="1"/>
    <xf numFmtId="3" fontId="185" fillId="0" borderId="69" xfId="108" applyNumberFormat="1" applyFont="1" applyBorder="1"/>
    <xf numFmtId="3" fontId="185" fillId="0" borderId="59" xfId="108" applyNumberFormat="1" applyFont="1" applyBorder="1"/>
    <xf numFmtId="3" fontId="185" fillId="0" borderId="148" xfId="108" applyNumberFormat="1" applyFont="1" applyBorder="1"/>
    <xf numFmtId="3" fontId="185" fillId="0" borderId="149" xfId="108" applyNumberFormat="1" applyFont="1" applyBorder="1"/>
    <xf numFmtId="3" fontId="183" fillId="0" borderId="89" xfId="108" applyNumberFormat="1" applyFont="1" applyBorder="1"/>
    <xf numFmtId="3" fontId="183" fillId="0" borderId="56" xfId="108" applyNumberFormat="1" applyFont="1" applyBorder="1"/>
    <xf numFmtId="3" fontId="185" fillId="30" borderId="146" xfId="108" applyNumberFormat="1" applyFont="1" applyFill="1" applyBorder="1"/>
    <xf numFmtId="3" fontId="185" fillId="0" borderId="146" xfId="108" applyNumberFormat="1" applyFont="1" applyBorder="1"/>
    <xf numFmtId="3" fontId="185" fillId="0" borderId="151" xfId="108" applyNumberFormat="1" applyFont="1" applyBorder="1"/>
    <xf numFmtId="3" fontId="185" fillId="0" borderId="152" xfId="108" applyNumberFormat="1" applyFont="1" applyBorder="1"/>
    <xf numFmtId="3" fontId="185" fillId="30" borderId="155" xfId="108" applyNumberFormat="1" applyFont="1" applyFill="1" applyBorder="1"/>
    <xf numFmtId="3" fontId="183" fillId="0" borderId="83" xfId="108" applyNumberFormat="1" applyFont="1" applyBorder="1" applyAlignment="1">
      <alignment horizontal="center"/>
    </xf>
    <xf numFmtId="3" fontId="183" fillId="0" borderId="27" xfId="108" applyNumberFormat="1" applyFont="1" applyBorder="1" applyAlignment="1">
      <alignment horizontal="center"/>
    </xf>
    <xf numFmtId="3" fontId="183" fillId="0" borderId="69" xfId="108" applyNumberFormat="1" applyFont="1" applyBorder="1" applyAlignment="1">
      <alignment horizontal="right"/>
    </xf>
    <xf numFmtId="3" fontId="183" fillId="0" borderId="78" xfId="108" applyNumberFormat="1" applyFont="1" applyBorder="1" applyAlignment="1">
      <alignment horizontal="right"/>
    </xf>
    <xf numFmtId="3" fontId="130" fillId="0" borderId="148" xfId="108" applyNumberFormat="1" applyFont="1" applyBorder="1"/>
    <xf numFmtId="0" fontId="109" fillId="0" borderId="0" xfId="0" applyFont="1" applyAlignment="1">
      <alignment horizontal="center"/>
    </xf>
    <xf numFmtId="0" fontId="68" fillId="0" borderId="0" xfId="99" applyFont="1" applyAlignment="1">
      <alignment horizontal="left" vertical="top" wrapText="1"/>
    </xf>
    <xf numFmtId="0" fontId="67" fillId="0" borderId="0" xfId="99" applyFont="1" applyAlignment="1">
      <alignment horizontal="left" vertical="top" wrapText="1"/>
    </xf>
    <xf numFmtId="3" fontId="82" fillId="0" borderId="20" xfId="0" applyNumberFormat="1" applyFont="1" applyBorder="1" applyAlignment="1">
      <alignment horizontal="left"/>
    </xf>
    <xf numFmtId="3" fontId="82" fillId="0" borderId="93" xfId="0" applyNumberFormat="1" applyFont="1" applyBorder="1" applyAlignment="1">
      <alignment horizontal="left"/>
    </xf>
    <xf numFmtId="3" fontId="82" fillId="0" borderId="125" xfId="0" applyNumberFormat="1" applyFont="1" applyBorder="1" applyAlignment="1">
      <alignment horizontal="left"/>
    </xf>
    <xf numFmtId="3" fontId="84" fillId="0" borderId="20" xfId="0" applyNumberFormat="1" applyFont="1" applyBorder="1" applyAlignment="1">
      <alignment horizontal="left"/>
    </xf>
    <xf numFmtId="3" fontId="84" fillId="0" borderId="125" xfId="0" applyNumberFormat="1" applyFont="1" applyBorder="1" applyAlignment="1">
      <alignment horizontal="left"/>
    </xf>
    <xf numFmtId="0" fontId="84" fillId="0" borderId="20" xfId="0" applyFont="1" applyBorder="1" applyAlignment="1">
      <alignment horizontal="left"/>
    </xf>
    <xf numFmtId="0" fontId="84" fillId="0" borderId="93" xfId="0" applyFont="1" applyBorder="1" applyAlignment="1">
      <alignment horizontal="left"/>
    </xf>
    <xf numFmtId="0" fontId="84" fillId="0" borderId="125" xfId="0" applyFont="1" applyBorder="1" applyAlignment="1">
      <alignment horizontal="left"/>
    </xf>
    <xf numFmtId="3" fontId="124" fillId="0" borderId="0" xfId="0" applyNumberFormat="1" applyFont="1" applyAlignment="1">
      <alignment horizontal="center"/>
    </xf>
    <xf numFmtId="0" fontId="124" fillId="27" borderId="45" xfId="0" applyFont="1" applyFill="1" applyBorder="1" applyAlignment="1">
      <alignment horizontal="center"/>
    </xf>
    <xf numFmtId="3" fontId="82" fillId="0" borderId="17" xfId="0" applyNumberFormat="1" applyFont="1" applyBorder="1" applyAlignment="1">
      <alignment horizontal="left"/>
    </xf>
    <xf numFmtId="3" fontId="82" fillId="0" borderId="22" xfId="0" applyNumberFormat="1" applyFont="1" applyBorder="1" applyAlignment="1">
      <alignment horizontal="left"/>
    </xf>
    <xf numFmtId="3" fontId="82" fillId="0" borderId="128" xfId="0" applyNumberFormat="1" applyFont="1" applyBorder="1" applyAlignment="1">
      <alignment horizontal="left"/>
    </xf>
    <xf numFmtId="0" fontId="73" fillId="0" borderId="37" xfId="0" applyFont="1" applyBorder="1" applyAlignment="1">
      <alignment horizontal="left" wrapText="1"/>
    </xf>
    <xf numFmtId="0" fontId="73" fillId="0" borderId="37" xfId="0" applyFont="1" applyBorder="1" applyAlignment="1">
      <alignment wrapText="1"/>
    </xf>
    <xf numFmtId="0" fontId="73" fillId="0" borderId="79" xfId="0" applyFont="1" applyBorder="1" applyAlignment="1">
      <alignment wrapText="1"/>
    </xf>
    <xf numFmtId="0" fontId="73" fillId="0" borderId="37" xfId="0" applyFont="1" applyBorder="1"/>
    <xf numFmtId="0" fontId="73" fillId="0" borderId="79" xfId="0" applyFont="1" applyBorder="1"/>
    <xf numFmtId="0" fontId="73" fillId="0" borderId="37" xfId="77" applyFont="1" applyBorder="1" applyAlignment="1">
      <alignment horizontal="left"/>
    </xf>
    <xf numFmtId="0" fontId="72" fillId="0" borderId="0" xfId="77" applyFont="1" applyAlignment="1">
      <alignment horizontal="left" wrapText="1"/>
    </xf>
    <xf numFmtId="0" fontId="72" fillId="0" borderId="86" xfId="77" applyFont="1" applyBorder="1" applyAlignment="1">
      <alignment horizontal="left" wrapText="1"/>
    </xf>
    <xf numFmtId="0" fontId="73" fillId="0" borderId="37" xfId="77" applyFont="1" applyBorder="1" applyAlignment="1">
      <alignment horizontal="left" wrapText="1"/>
    </xf>
    <xf numFmtId="0" fontId="73" fillId="0" borderId="79" xfId="77" applyFont="1" applyBorder="1" applyAlignment="1">
      <alignment horizontal="left" wrapText="1"/>
    </xf>
    <xf numFmtId="0" fontId="75" fillId="0" borderId="0" xfId="0" applyFont="1" applyAlignment="1">
      <alignment horizontal="left" wrapText="1"/>
    </xf>
    <xf numFmtId="0" fontId="75" fillId="0" borderId="86" xfId="0" applyFont="1" applyBorder="1" applyAlignment="1">
      <alignment horizontal="left" wrapText="1"/>
    </xf>
    <xf numFmtId="0" fontId="16" fillId="0" borderId="0" xfId="0" applyFont="1" applyAlignment="1">
      <alignment horizontal="center"/>
    </xf>
    <xf numFmtId="0" fontId="75" fillId="0" borderId="104" xfId="0" applyFont="1" applyBorder="1" applyAlignment="1">
      <alignment wrapText="1"/>
    </xf>
    <xf numFmtId="0" fontId="75" fillId="0" borderId="131" xfId="0" applyFont="1" applyBorder="1" applyAlignment="1">
      <alignment wrapText="1"/>
    </xf>
    <xf numFmtId="0" fontId="82" fillId="27" borderId="119" xfId="0" applyFont="1" applyFill="1" applyBorder="1" applyAlignment="1">
      <alignment horizontal="center"/>
    </xf>
    <xf numFmtId="0" fontId="82" fillId="27" borderId="120" xfId="0" applyFont="1" applyFill="1" applyBorder="1" applyAlignment="1">
      <alignment horizontal="center"/>
    </xf>
    <xf numFmtId="0" fontId="72" fillId="0" borderId="0" xfId="0" applyFont="1" applyAlignment="1">
      <alignment horizontal="center"/>
    </xf>
    <xf numFmtId="0" fontId="73" fillId="0" borderId="79" xfId="0" applyFont="1" applyBorder="1" applyAlignment="1">
      <alignment horizontal="left" wrapText="1"/>
    </xf>
    <xf numFmtId="3" fontId="174" fillId="0" borderId="23" xfId="76" applyNumberFormat="1" applyFont="1" applyBorder="1" applyAlignment="1">
      <alignment horizontal="center" vertical="center"/>
    </xf>
    <xf numFmtId="3" fontId="174" fillId="0" borderId="46" xfId="76" applyNumberFormat="1" applyFont="1" applyBorder="1" applyAlignment="1">
      <alignment horizontal="center" vertical="center"/>
    </xf>
    <xf numFmtId="3" fontId="174" fillId="0" borderId="53" xfId="76" applyNumberFormat="1" applyFont="1" applyBorder="1" applyAlignment="1">
      <alignment horizontal="center" vertical="center"/>
    </xf>
    <xf numFmtId="3" fontId="174" fillId="0" borderId="19" xfId="76" applyNumberFormat="1" applyFont="1" applyBorder="1" applyAlignment="1">
      <alignment horizontal="center" vertical="center"/>
    </xf>
    <xf numFmtId="3" fontId="174" fillId="0" borderId="16" xfId="76" applyNumberFormat="1" applyFont="1" applyBorder="1" applyAlignment="1">
      <alignment horizontal="center" vertical="center"/>
    </xf>
    <xf numFmtId="3" fontId="174" fillId="0" borderId="84" xfId="76" applyNumberFormat="1" applyFont="1" applyBorder="1" applyAlignment="1">
      <alignment horizontal="center" vertical="center"/>
    </xf>
    <xf numFmtId="0" fontId="173" fillId="0" borderId="0" xfId="76" applyFont="1" applyAlignment="1">
      <alignment horizontal="center"/>
    </xf>
    <xf numFmtId="3" fontId="173" fillId="0" borderId="0" xfId="76" applyNumberFormat="1" applyFont="1" applyAlignment="1">
      <alignment horizontal="center"/>
    </xf>
    <xf numFmtId="3" fontId="117" fillId="0" borderId="0" xfId="76" applyNumberFormat="1" applyFont="1" applyAlignment="1">
      <alignment horizontal="center"/>
    </xf>
    <xf numFmtId="0" fontId="173" fillId="29" borderId="0" xfId="76" applyFont="1" applyFill="1" applyAlignment="1">
      <alignment horizontal="center"/>
    </xf>
    <xf numFmtId="3" fontId="174" fillId="0" borderId="23" xfId="76" applyNumberFormat="1" applyFont="1" applyBorder="1" applyAlignment="1">
      <alignment horizontal="center" vertical="center" wrapText="1"/>
    </xf>
    <xf numFmtId="3" fontId="174" fillId="0" borderId="46" xfId="76" applyNumberFormat="1" applyFont="1" applyBorder="1" applyAlignment="1">
      <alignment horizontal="center" vertical="center" wrapText="1"/>
    </xf>
    <xf numFmtId="3" fontId="174" fillId="0" borderId="53" xfId="76" applyNumberFormat="1" applyFont="1" applyBorder="1" applyAlignment="1">
      <alignment horizontal="center" vertical="center" wrapText="1"/>
    </xf>
    <xf numFmtId="3" fontId="174" fillId="0" borderId="19" xfId="76" applyNumberFormat="1" applyFont="1" applyBorder="1" applyAlignment="1">
      <alignment horizontal="center" vertical="center" wrapText="1"/>
    </xf>
    <xf numFmtId="3" fontId="174" fillId="0" borderId="16" xfId="76" applyNumberFormat="1" applyFont="1" applyBorder="1" applyAlignment="1">
      <alignment horizontal="center" vertical="center" wrapText="1"/>
    </xf>
    <xf numFmtId="3" fontId="174" fillId="0" borderId="84" xfId="76" applyNumberFormat="1" applyFont="1" applyBorder="1" applyAlignment="1">
      <alignment horizontal="center" vertical="center" wrapText="1"/>
    </xf>
    <xf numFmtId="3" fontId="174" fillId="0" borderId="20" xfId="76" applyNumberFormat="1" applyFont="1" applyBorder="1" applyAlignment="1">
      <alignment horizontal="center" vertical="center"/>
    </xf>
    <xf numFmtId="3" fontId="174" fillId="0" borderId="93" xfId="76" applyNumberFormat="1" applyFont="1" applyBorder="1" applyAlignment="1">
      <alignment horizontal="center" vertical="center"/>
    </xf>
    <xf numFmtId="3" fontId="174" fillId="0" borderId="81" xfId="76" applyNumberFormat="1" applyFont="1" applyBorder="1" applyAlignment="1">
      <alignment horizontal="center" vertical="center"/>
    </xf>
    <xf numFmtId="3" fontId="174" fillId="0" borderId="23" xfId="76" applyNumberFormat="1" applyFont="1" applyBorder="1" applyAlignment="1">
      <alignment horizontal="center" wrapText="1"/>
    </xf>
    <xf numFmtId="3" fontId="174" fillId="0" borderId="46" xfId="76" applyNumberFormat="1" applyFont="1" applyBorder="1" applyAlignment="1">
      <alignment horizontal="center" wrapText="1"/>
    </xf>
    <xf numFmtId="3" fontId="174" fillId="0" borderId="53" xfId="76" applyNumberFormat="1" applyFont="1" applyBorder="1" applyAlignment="1">
      <alignment horizontal="center" wrapText="1"/>
    </xf>
    <xf numFmtId="3" fontId="174" fillId="0" borderId="19" xfId="76" applyNumberFormat="1" applyFont="1" applyBorder="1" applyAlignment="1">
      <alignment horizontal="center" wrapText="1"/>
    </xf>
    <xf numFmtId="3" fontId="174" fillId="0" borderId="16" xfId="76" applyNumberFormat="1" applyFont="1" applyBorder="1" applyAlignment="1">
      <alignment horizontal="center" wrapText="1"/>
    </xf>
    <xf numFmtId="3" fontId="174" fillId="0" borderId="84" xfId="76" applyNumberFormat="1" applyFont="1" applyBorder="1" applyAlignment="1">
      <alignment horizontal="center" wrapText="1"/>
    </xf>
    <xf numFmtId="0" fontId="130" fillId="0" borderId="0" xfId="105" applyFont="1" applyAlignment="1">
      <alignment horizontal="center"/>
    </xf>
    <xf numFmtId="0" fontId="183" fillId="0" borderId="0" xfId="108" applyFont="1" applyAlignment="1">
      <alignment horizontal="center" wrapText="1"/>
    </xf>
    <xf numFmtId="3" fontId="169" fillId="0" borderId="23" xfId="76" applyNumberFormat="1" applyFont="1" applyBorder="1" applyAlignment="1">
      <alignment horizontal="center" vertical="center"/>
    </xf>
    <xf numFmtId="3" fontId="169" fillId="0" borderId="46" xfId="76" applyNumberFormat="1" applyFont="1" applyBorder="1" applyAlignment="1">
      <alignment horizontal="center" vertical="center"/>
    </xf>
    <xf numFmtId="3" fontId="169" fillId="0" borderId="53" xfId="76" applyNumberFormat="1" applyFont="1" applyBorder="1" applyAlignment="1">
      <alignment horizontal="center" vertical="center"/>
    </xf>
    <xf numFmtId="3" fontId="169" fillId="0" borderId="18" xfId="76" applyNumberFormat="1" applyFont="1" applyBorder="1" applyAlignment="1">
      <alignment horizontal="center" vertical="center"/>
    </xf>
    <xf numFmtId="3" fontId="169" fillId="0" borderId="0" xfId="76" applyNumberFormat="1" applyFont="1" applyAlignment="1">
      <alignment horizontal="center" vertical="center"/>
    </xf>
    <xf numFmtId="3" fontId="169" fillId="0" borderId="86" xfId="76" applyNumberFormat="1" applyFont="1" applyBorder="1" applyAlignment="1">
      <alignment horizontal="center" vertical="center"/>
    </xf>
    <xf numFmtId="3" fontId="169" fillId="0" borderId="19" xfId="76" applyNumberFormat="1" applyFont="1" applyBorder="1" applyAlignment="1">
      <alignment horizontal="center" vertical="center"/>
    </xf>
    <xf numFmtId="3" fontId="169" fillId="0" borderId="16" xfId="76" applyNumberFormat="1" applyFont="1" applyBorder="1" applyAlignment="1">
      <alignment horizontal="center" vertical="center"/>
    </xf>
    <xf numFmtId="3" fontId="169" fillId="0" borderId="84" xfId="76" applyNumberFormat="1" applyFont="1" applyBorder="1" applyAlignment="1">
      <alignment horizontal="center" vertical="center"/>
    </xf>
    <xf numFmtId="3" fontId="114" fillId="0" borderId="0" xfId="76" applyNumberFormat="1" applyFont="1" applyAlignment="1">
      <alignment horizontal="center"/>
    </xf>
    <xf numFmtId="3" fontId="169" fillId="0" borderId="23" xfId="76" applyNumberFormat="1" applyFont="1" applyBorder="1" applyAlignment="1">
      <alignment horizontal="center" vertical="center" wrapText="1"/>
    </xf>
    <xf numFmtId="3" fontId="169" fillId="0" borderId="46" xfId="76" applyNumberFormat="1" applyFont="1" applyBorder="1" applyAlignment="1">
      <alignment horizontal="center" vertical="center" wrapText="1"/>
    </xf>
    <xf numFmtId="3" fontId="169" fillId="0" borderId="53" xfId="76" applyNumberFormat="1" applyFont="1" applyBorder="1" applyAlignment="1">
      <alignment horizontal="center" vertical="center" wrapText="1"/>
    </xf>
    <xf numFmtId="3" fontId="169" fillId="0" borderId="18" xfId="76" applyNumberFormat="1" applyFont="1" applyBorder="1" applyAlignment="1">
      <alignment horizontal="center" vertical="center" wrapText="1"/>
    </xf>
    <xf numFmtId="3" fontId="169" fillId="0" borderId="0" xfId="76" applyNumberFormat="1" applyFont="1" applyAlignment="1">
      <alignment horizontal="center" vertical="center" wrapText="1"/>
    </xf>
    <xf numFmtId="3" fontId="169" fillId="0" borderId="86" xfId="76" applyNumberFormat="1" applyFont="1" applyBorder="1" applyAlignment="1">
      <alignment horizontal="center" vertical="center" wrapText="1"/>
    </xf>
    <xf numFmtId="3" fontId="169" fillId="0" borderId="19" xfId="76" applyNumberFormat="1" applyFont="1" applyBorder="1" applyAlignment="1">
      <alignment horizontal="center" vertical="center" wrapText="1"/>
    </xf>
    <xf numFmtId="3" fontId="169" fillId="0" borderId="16" xfId="76" applyNumberFormat="1" applyFont="1" applyBorder="1" applyAlignment="1">
      <alignment horizontal="center" vertical="center" wrapText="1"/>
    </xf>
    <xf numFmtId="3" fontId="169" fillId="0" borderId="84" xfId="76" applyNumberFormat="1" applyFont="1" applyBorder="1" applyAlignment="1">
      <alignment horizontal="center" vertical="center" wrapText="1"/>
    </xf>
    <xf numFmtId="4" fontId="139" fillId="0" borderId="20" xfId="102" applyNumberFormat="1" applyFont="1" applyBorder="1" applyAlignment="1">
      <alignment horizontal="center"/>
    </xf>
    <xf numFmtId="4" fontId="139" fillId="0" borderId="81" xfId="102" applyNumberFormat="1" applyFont="1" applyBorder="1" applyAlignment="1">
      <alignment horizontal="center"/>
    </xf>
    <xf numFmtId="0" fontId="139" fillId="0" borderId="0" xfId="102" applyFont="1" applyAlignment="1">
      <alignment horizontal="center"/>
    </xf>
    <xf numFmtId="0" fontId="136" fillId="0" borderId="16" xfId="102" applyFont="1" applyBorder="1" applyAlignment="1">
      <alignment horizontal="center"/>
    </xf>
    <xf numFmtId="0" fontId="129" fillId="27" borderId="20" xfId="102" applyFont="1" applyFill="1" applyBorder="1" applyAlignment="1">
      <alignment horizontal="center" vertical="center"/>
    </xf>
    <xf numFmtId="0" fontId="129" fillId="27" borderId="93" xfId="102" applyFont="1" applyFill="1" applyBorder="1" applyAlignment="1">
      <alignment horizontal="center" vertical="center"/>
    </xf>
    <xf numFmtId="0" fontId="129" fillId="27" borderId="81" xfId="102" applyFont="1" applyFill="1" applyBorder="1" applyAlignment="1">
      <alignment horizontal="center" vertical="center"/>
    </xf>
    <xf numFmtId="0" fontId="139" fillId="0" borderId="23" xfId="102" applyFont="1" applyBorder="1" applyAlignment="1">
      <alignment horizontal="center" vertical="center" wrapText="1"/>
    </xf>
    <xf numFmtId="0" fontId="139" fillId="0" borderId="53" xfId="102" applyFont="1" applyBorder="1" applyAlignment="1">
      <alignment horizontal="center" vertical="center" wrapText="1"/>
    </xf>
    <xf numFmtId="0" fontId="139" fillId="0" borderId="19" xfId="102" applyFont="1" applyBorder="1" applyAlignment="1">
      <alignment horizontal="center" vertical="center" wrapText="1"/>
    </xf>
    <xf numFmtId="0" fontId="139" fillId="0" borderId="84" xfId="102" applyFont="1" applyBorder="1" applyAlignment="1">
      <alignment horizontal="center" vertical="center" wrapText="1"/>
    </xf>
    <xf numFmtId="4" fontId="139" fillId="0" borderId="19" xfId="102" applyNumberFormat="1" applyFont="1" applyBorder="1" applyAlignment="1">
      <alignment horizontal="center"/>
    </xf>
    <xf numFmtId="4" fontId="139" fillId="0" borderId="16" xfId="102" applyNumberFormat="1" applyFont="1" applyBorder="1" applyAlignment="1">
      <alignment horizontal="center"/>
    </xf>
    <xf numFmtId="4" fontId="139" fillId="0" borderId="93" xfId="102" applyNumberFormat="1" applyFont="1" applyBorder="1" applyAlignment="1">
      <alignment horizontal="center"/>
    </xf>
    <xf numFmtId="0" fontId="82" fillId="27" borderId="121" xfId="0" applyFont="1" applyFill="1" applyBorder="1" applyAlignment="1">
      <alignment horizontal="center"/>
    </xf>
    <xf numFmtId="0" fontId="82" fillId="27" borderId="133" xfId="0" applyFont="1" applyFill="1" applyBorder="1" applyAlignment="1">
      <alignment horizontal="center"/>
    </xf>
    <xf numFmtId="0" fontId="82" fillId="0" borderId="0" xfId="0" applyFont="1" applyAlignment="1">
      <alignment horizontal="center"/>
    </xf>
    <xf numFmtId="0" fontId="82" fillId="27" borderId="46" xfId="0" applyFont="1" applyFill="1" applyBorder="1" applyAlignment="1">
      <alignment horizontal="center"/>
    </xf>
    <xf numFmtId="0" fontId="72" fillId="27" borderId="46" xfId="0" applyFont="1" applyFill="1" applyBorder="1" applyAlignment="1">
      <alignment horizontal="center"/>
    </xf>
    <xf numFmtId="0" fontId="74" fillId="0" borderId="0" xfId="0" applyFont="1" applyAlignment="1">
      <alignment horizontal="center"/>
    </xf>
    <xf numFmtId="3" fontId="72" fillId="0" borderId="0" xfId="0" applyNumberFormat="1" applyFont="1" applyAlignment="1">
      <alignment horizontal="center"/>
    </xf>
    <xf numFmtId="3" fontId="82" fillId="0" borderId="0" xfId="0" applyNumberFormat="1" applyFont="1" applyAlignment="1">
      <alignment horizontal="center"/>
    </xf>
    <xf numFmtId="0" fontId="82" fillId="27" borderId="47" xfId="0" applyFont="1" applyFill="1" applyBorder="1" applyAlignment="1">
      <alignment horizontal="center"/>
    </xf>
    <xf numFmtId="0" fontId="82" fillId="27" borderId="63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2" fillId="27" borderId="23" xfId="0" applyFont="1" applyFill="1" applyBorder="1" applyAlignment="1">
      <alignment horizontal="center"/>
    </xf>
    <xf numFmtId="0" fontId="130" fillId="27" borderId="47" xfId="0" applyFont="1" applyFill="1" applyBorder="1" applyAlignment="1">
      <alignment horizontal="center"/>
    </xf>
    <xf numFmtId="0" fontId="130" fillId="27" borderId="46" xfId="0" applyFont="1" applyFill="1" applyBorder="1" applyAlignment="1">
      <alignment horizontal="center"/>
    </xf>
    <xf numFmtId="0" fontId="166" fillId="0" borderId="20" xfId="0" applyFont="1" applyBorder="1" applyAlignment="1">
      <alignment horizontal="left" wrapText="1"/>
    </xf>
    <xf numFmtId="0" fontId="166" fillId="0" borderId="93" xfId="0" applyFont="1" applyBorder="1" applyAlignment="1">
      <alignment horizontal="left" wrapText="1"/>
    </xf>
    <xf numFmtId="0" fontId="166" fillId="0" borderId="125" xfId="0" applyFont="1" applyBorder="1" applyAlignment="1">
      <alignment horizontal="left" wrapText="1"/>
    </xf>
    <xf numFmtId="0" fontId="166" fillId="0" borderId="20" xfId="0" applyFont="1" applyBorder="1" applyAlignment="1">
      <alignment horizontal="left"/>
    </xf>
    <xf numFmtId="0" fontId="166" fillId="0" borderId="93" xfId="0" applyFont="1" applyBorder="1" applyAlignment="1">
      <alignment horizontal="left"/>
    </xf>
    <xf numFmtId="0" fontId="166" fillId="0" borderId="125" xfId="0" applyFont="1" applyBorder="1" applyAlignment="1">
      <alignment horizontal="left"/>
    </xf>
    <xf numFmtId="0" fontId="166" fillId="0" borderId="23" xfId="0" applyFont="1" applyBorder="1" applyAlignment="1">
      <alignment horizontal="center"/>
    </xf>
    <xf numFmtId="0" fontId="166" fillId="0" borderId="46" xfId="0" applyFont="1" applyBorder="1" applyAlignment="1">
      <alignment horizontal="center"/>
    </xf>
    <xf numFmtId="0" fontId="166" fillId="27" borderId="121" xfId="0" applyFont="1" applyFill="1" applyBorder="1" applyAlignment="1">
      <alignment horizontal="center"/>
    </xf>
    <xf numFmtId="0" fontId="166" fillId="27" borderId="122" xfId="0" applyFont="1" applyFill="1" applyBorder="1" applyAlignment="1">
      <alignment horizontal="center"/>
    </xf>
    <xf numFmtId="0" fontId="166" fillId="0" borderId="0" xfId="0" applyFont="1" applyAlignment="1">
      <alignment horizontal="center"/>
    </xf>
    <xf numFmtId="0" fontId="130" fillId="27" borderId="121" xfId="0" applyFont="1" applyFill="1" applyBorder="1" applyAlignment="1">
      <alignment horizontal="center"/>
    </xf>
    <xf numFmtId="0" fontId="130" fillId="27" borderId="122" xfId="0" applyFont="1" applyFill="1" applyBorder="1" applyAlignment="1">
      <alignment horizontal="center"/>
    </xf>
    <xf numFmtId="0" fontId="130" fillId="0" borderId="0" xfId="0" applyFont="1" applyAlignment="1">
      <alignment horizontal="center"/>
    </xf>
    <xf numFmtId="0" fontId="74" fillId="0" borderId="0" xfId="77" applyFont="1" applyAlignment="1">
      <alignment horizontal="center"/>
    </xf>
    <xf numFmtId="0" fontId="130" fillId="0" borderId="26" xfId="77" applyFont="1" applyBorder="1" applyAlignment="1">
      <alignment horizontal="left"/>
    </xf>
    <xf numFmtId="0" fontId="130" fillId="0" borderId="24" xfId="77" applyFont="1" applyBorder="1" applyAlignment="1">
      <alignment horizontal="left"/>
    </xf>
    <xf numFmtId="0" fontId="82" fillId="27" borderId="129" xfId="0" applyFont="1" applyFill="1" applyBorder="1" applyAlignment="1">
      <alignment horizontal="center"/>
    </xf>
    <xf numFmtId="0" fontId="9" fillId="0" borderId="0" xfId="77" applyFont="1" applyAlignment="1">
      <alignment horizontal="center"/>
    </xf>
    <xf numFmtId="0" fontId="9" fillId="27" borderId="0" xfId="0" applyFont="1" applyFill="1" applyAlignment="1">
      <alignment horizontal="center"/>
    </xf>
    <xf numFmtId="0" fontId="130" fillId="0" borderId="17" xfId="77" applyFont="1" applyBorder="1" applyAlignment="1">
      <alignment horizontal="left"/>
    </xf>
    <xf numFmtId="0" fontId="130" fillId="0" borderId="22" xfId="77" applyFont="1" applyBorder="1" applyAlignment="1">
      <alignment horizontal="left"/>
    </xf>
    <xf numFmtId="0" fontId="72" fillId="0" borderId="0" xfId="77" applyFont="1" applyAlignment="1">
      <alignment horizontal="center"/>
    </xf>
    <xf numFmtId="0" fontId="72" fillId="0" borderId="23" xfId="77" applyFont="1" applyBorder="1" applyAlignment="1">
      <alignment horizontal="center"/>
    </xf>
    <xf numFmtId="0" fontId="72" fillId="0" borderId="46" xfId="77" applyFont="1" applyBorder="1" applyAlignment="1">
      <alignment horizontal="center"/>
    </xf>
    <xf numFmtId="0" fontId="82" fillId="0" borderId="0" xfId="77" applyFont="1" applyAlignment="1">
      <alignment horizontal="center"/>
    </xf>
    <xf numFmtId="0" fontId="130" fillId="0" borderId="0" xfId="78" applyFont="1" applyAlignment="1">
      <alignment horizontal="center"/>
    </xf>
    <xf numFmtId="0" fontId="109" fillId="0" borderId="0" xfId="89" applyFont="1" applyAlignment="1">
      <alignment horizontal="center"/>
    </xf>
    <xf numFmtId="0" fontId="109" fillId="0" borderId="23" xfId="77" applyFont="1" applyBorder="1" applyAlignment="1">
      <alignment horizontal="center"/>
    </xf>
    <xf numFmtId="0" fontId="109" fillId="0" borderId="46" xfId="77" applyFont="1" applyBorder="1" applyAlignment="1">
      <alignment horizontal="center"/>
    </xf>
    <xf numFmtId="0" fontId="110" fillId="0" borderId="18" xfId="90" applyFont="1" applyBorder="1" applyAlignment="1">
      <alignment wrapText="1"/>
    </xf>
    <xf numFmtId="0" fontId="110" fillId="0" borderId="86" xfId="0" applyFont="1" applyBorder="1" applyAlignment="1">
      <alignment wrapText="1"/>
    </xf>
    <xf numFmtId="0" fontId="109" fillId="0" borderId="26" xfId="90" applyFont="1" applyBorder="1" applyAlignment="1">
      <alignment wrapText="1"/>
    </xf>
    <xf numFmtId="0" fontId="110" fillId="0" borderId="88" xfId="0" applyFont="1" applyBorder="1"/>
    <xf numFmtId="0" fontId="110" fillId="0" borderId="88" xfId="0" applyFont="1" applyBorder="1" applyAlignment="1">
      <alignment wrapText="1"/>
    </xf>
    <xf numFmtId="0" fontId="160" fillId="0" borderId="20" xfId="90" applyFont="1" applyBorder="1" applyAlignment="1">
      <alignment wrapText="1"/>
    </xf>
    <xf numFmtId="0" fontId="110" fillId="0" borderId="81" xfId="0" applyFont="1" applyBorder="1" applyAlignment="1">
      <alignment wrapText="1"/>
    </xf>
    <xf numFmtId="0" fontId="109" fillId="0" borderId="0" xfId="90" applyFont="1" applyAlignment="1">
      <alignment horizontal="center"/>
    </xf>
    <xf numFmtId="0" fontId="110" fillId="0" borderId="0" xfId="0" applyFont="1"/>
    <xf numFmtId="0" fontId="109" fillId="0" borderId="23" xfId="90" applyFont="1" applyBorder="1" applyAlignment="1">
      <alignment horizontal="center"/>
    </xf>
    <xf numFmtId="0" fontId="110" fillId="0" borderId="53" xfId="0" applyFont="1" applyBorder="1" applyAlignment="1">
      <alignment horizontal="center"/>
    </xf>
    <xf numFmtId="0" fontId="109" fillId="0" borderId="17" xfId="90" applyFont="1" applyBorder="1" applyAlignment="1">
      <alignment wrapText="1"/>
    </xf>
    <xf numFmtId="0" fontId="110" fillId="0" borderId="80" xfId="0" applyFont="1" applyBorder="1"/>
    <xf numFmtId="0" fontId="160" fillId="0" borderId="18" xfId="90" applyFont="1" applyBorder="1" applyAlignment="1">
      <alignment wrapText="1"/>
    </xf>
    <xf numFmtId="0" fontId="84" fillId="0" borderId="16" xfId="91" applyFont="1" applyBorder="1" applyAlignment="1">
      <alignment horizontal="center"/>
    </xf>
    <xf numFmtId="0" fontId="82" fillId="0" borderId="0" xfId="91" applyFont="1" applyAlignment="1">
      <alignment horizontal="center"/>
    </xf>
    <xf numFmtId="0" fontId="81" fillId="0" borderId="0" xfId="91" applyFont="1" applyAlignment="1">
      <alignment horizontal="center"/>
    </xf>
    <xf numFmtId="0" fontId="84" fillId="0" borderId="0" xfId="91" applyFont="1" applyAlignment="1">
      <alignment horizontal="center"/>
    </xf>
    <xf numFmtId="0" fontId="110" fillId="0" borderId="24" xfId="92" applyFont="1" applyBorder="1" applyAlignment="1">
      <alignment wrapText="1"/>
    </xf>
    <xf numFmtId="0" fontId="110" fillId="0" borderId="24" xfId="0" applyFont="1" applyBorder="1"/>
    <xf numFmtId="0" fontId="110" fillId="0" borderId="134" xfId="0" applyFont="1" applyBorder="1"/>
    <xf numFmtId="0" fontId="109" fillId="0" borderId="0" xfId="92" applyFont="1" applyAlignment="1">
      <alignment horizontal="center"/>
    </xf>
    <xf numFmtId="0" fontId="109" fillId="0" borderId="18" xfId="92" applyFont="1" applyBorder="1" applyAlignment="1">
      <alignment horizontal="center"/>
    </xf>
    <xf numFmtId="0" fontId="109" fillId="0" borderId="135" xfId="0" applyFont="1" applyBorder="1" applyAlignment="1">
      <alignment horizontal="center"/>
    </xf>
    <xf numFmtId="0" fontId="109" fillId="0" borderId="100" xfId="0" applyFont="1" applyBorder="1" applyAlignment="1">
      <alignment horizontal="center"/>
    </xf>
    <xf numFmtId="49" fontId="125" fillId="0" borderId="57" xfId="93" applyNumberFormat="1" applyFont="1" applyBorder="1" applyAlignment="1">
      <alignment horizontal="center"/>
    </xf>
    <xf numFmtId="49" fontId="125" fillId="0" borderId="104" xfId="93" applyNumberFormat="1" applyFont="1" applyBorder="1" applyAlignment="1">
      <alignment horizontal="center"/>
    </xf>
    <xf numFmtId="49" fontId="125" fillId="0" borderId="26" xfId="93" applyNumberFormat="1" applyFont="1" applyBorder="1" applyAlignment="1">
      <alignment horizontal="center"/>
    </xf>
    <xf numFmtId="49" fontId="125" fillId="0" borderId="134" xfId="93" applyNumberFormat="1" applyFont="1" applyBorder="1" applyAlignment="1">
      <alignment horizontal="center"/>
    </xf>
    <xf numFmtId="0" fontId="125" fillId="0" borderId="19" xfId="93" applyFont="1" applyBorder="1" applyAlignment="1">
      <alignment horizontal="center"/>
    </xf>
    <xf numFmtId="0" fontId="125" fillId="0" borderId="16" xfId="93" applyFont="1" applyBorder="1" applyAlignment="1">
      <alignment horizontal="center"/>
    </xf>
    <xf numFmtId="0" fontId="125" fillId="0" borderId="24" xfId="93" applyFont="1" applyBorder="1" applyAlignment="1">
      <alignment horizontal="left"/>
    </xf>
    <xf numFmtId="0" fontId="125" fillId="0" borderId="134" xfId="93" applyFont="1" applyBorder="1" applyAlignment="1">
      <alignment horizontal="left"/>
    </xf>
    <xf numFmtId="49" fontId="125" fillId="0" borderId="98" xfId="93" applyNumberFormat="1" applyFont="1" applyBorder="1" applyAlignment="1">
      <alignment horizontal="center"/>
    </xf>
    <xf numFmtId="49" fontId="125" fillId="0" borderId="91" xfId="93" applyNumberFormat="1" applyFont="1" applyBorder="1" applyAlignment="1">
      <alignment horizontal="center"/>
    </xf>
    <xf numFmtId="49" fontId="125" fillId="0" borderId="17" xfId="93" applyNumberFormat="1" applyFont="1" applyBorder="1" applyAlignment="1">
      <alignment horizontal="center"/>
    </xf>
    <xf numFmtId="49" fontId="125" fillId="0" borderId="128" xfId="93" applyNumberFormat="1" applyFont="1" applyBorder="1" applyAlignment="1">
      <alignment horizontal="center"/>
    </xf>
    <xf numFmtId="0" fontId="125" fillId="0" borderId="22" xfId="93" applyFont="1" applyBorder="1" applyAlignment="1">
      <alignment horizontal="left"/>
    </xf>
    <xf numFmtId="0" fontId="125" fillId="0" borderId="128" xfId="93" applyFont="1" applyBorder="1" applyAlignment="1">
      <alignment horizontal="left"/>
    </xf>
    <xf numFmtId="49" fontId="125" fillId="0" borderId="119" xfId="93" applyNumberFormat="1" applyFont="1" applyBorder="1" applyAlignment="1">
      <alignment horizontal="center"/>
    </xf>
    <xf numFmtId="49" fontId="125" fillId="0" borderId="122" xfId="93" applyNumberFormat="1" applyFont="1" applyBorder="1" applyAlignment="1">
      <alignment horizontal="center"/>
    </xf>
    <xf numFmtId="49" fontId="125" fillId="0" borderId="141" xfId="93" applyNumberFormat="1" applyFont="1" applyBorder="1" applyAlignment="1">
      <alignment horizontal="center"/>
    </xf>
    <xf numFmtId="0" fontId="125" fillId="0" borderId="91" xfId="93" applyFont="1" applyBorder="1" applyAlignment="1">
      <alignment horizontal="left"/>
    </xf>
    <xf numFmtId="0" fontId="125" fillId="0" borderId="141" xfId="93" applyFont="1" applyBorder="1" applyAlignment="1">
      <alignment horizontal="left"/>
    </xf>
    <xf numFmtId="49" fontId="125" fillId="0" borderId="142" xfId="93" applyNumberFormat="1" applyFont="1" applyBorder="1" applyAlignment="1">
      <alignment horizontal="center"/>
    </xf>
    <xf numFmtId="0" fontId="82" fillId="0" borderId="0" xfId="93" applyFont="1" applyAlignment="1">
      <alignment horizontal="center"/>
    </xf>
    <xf numFmtId="0" fontId="16" fillId="0" borderId="0" xfId="93" applyFont="1" applyAlignment="1">
      <alignment horizontal="left"/>
    </xf>
    <xf numFmtId="0" fontId="125" fillId="0" borderId="23" xfId="93" applyFont="1" applyBorder="1" applyAlignment="1">
      <alignment horizontal="center" vertical="center"/>
    </xf>
    <xf numFmtId="0" fontId="125" fillId="0" borderId="63" xfId="93" applyFont="1" applyBorder="1" applyAlignment="1">
      <alignment horizontal="center" vertical="center"/>
    </xf>
    <xf numFmtId="0" fontId="125" fillId="0" borderId="18" xfId="93" applyFont="1" applyBorder="1" applyAlignment="1">
      <alignment horizontal="center" vertical="center"/>
    </xf>
    <xf numFmtId="0" fontId="125" fillId="0" borderId="31" xfId="93" applyFont="1" applyBorder="1" applyAlignment="1">
      <alignment horizontal="center" vertical="center"/>
    </xf>
    <xf numFmtId="0" fontId="125" fillId="0" borderId="19" xfId="93" applyFont="1" applyBorder="1" applyAlignment="1">
      <alignment horizontal="center" vertical="center"/>
    </xf>
    <xf numFmtId="0" fontId="125" fillId="0" borderId="99" xfId="93" applyFont="1" applyBorder="1" applyAlignment="1">
      <alignment horizontal="center" vertical="center"/>
    </xf>
    <xf numFmtId="0" fontId="125" fillId="0" borderId="47" xfId="93" applyFont="1" applyBorder="1" applyAlignment="1">
      <alignment horizontal="center" vertical="center"/>
    </xf>
    <xf numFmtId="0" fontId="125" fillId="0" borderId="29" xfId="93" applyFont="1" applyBorder="1" applyAlignment="1">
      <alignment horizontal="center" vertical="center"/>
    </xf>
    <xf numFmtId="0" fontId="125" fillId="0" borderId="33" xfId="93" applyFont="1" applyBorder="1" applyAlignment="1">
      <alignment horizontal="center" vertical="center"/>
    </xf>
    <xf numFmtId="0" fontId="125" fillId="0" borderId="121" xfId="93" applyFont="1" applyBorder="1" applyAlignment="1">
      <alignment horizontal="center"/>
    </xf>
    <xf numFmtId="0" fontId="125" fillId="0" borderId="133" xfId="93" applyFont="1" applyBorder="1" applyAlignment="1">
      <alignment horizontal="center"/>
    </xf>
    <xf numFmtId="0" fontId="125" fillId="0" borderId="120" xfId="93" applyFont="1" applyBorder="1" applyAlignment="1">
      <alignment horizontal="center"/>
    </xf>
    <xf numFmtId="0" fontId="125" fillId="0" borderId="49" xfId="93" applyFont="1" applyBorder="1" applyAlignment="1">
      <alignment horizontal="center"/>
    </xf>
    <xf numFmtId="0" fontId="125" fillId="0" borderId="24" xfId="93" applyFont="1" applyBorder="1" applyAlignment="1">
      <alignment horizontal="center"/>
    </xf>
    <xf numFmtId="0" fontId="125" fillId="0" borderId="134" xfId="93" applyFont="1" applyBorder="1" applyAlignment="1">
      <alignment horizontal="center"/>
    </xf>
    <xf numFmtId="0" fontId="125" fillId="0" borderId="88" xfId="93" applyFont="1" applyBorder="1" applyAlignment="1">
      <alignment horizontal="center"/>
    </xf>
    <xf numFmtId="0" fontId="125" fillId="0" borderId="55" xfId="93" applyFont="1" applyBorder="1" applyAlignment="1">
      <alignment horizontal="center" vertical="center"/>
    </xf>
    <xf numFmtId="0" fontId="125" fillId="0" borderId="101" xfId="93" applyFont="1" applyBorder="1" applyAlignment="1">
      <alignment horizontal="center" vertical="center"/>
    </xf>
    <xf numFmtId="0" fontId="125" fillId="0" borderId="82" xfId="93" applyFont="1" applyBorder="1" applyAlignment="1">
      <alignment horizontal="center" vertical="center"/>
    </xf>
    <xf numFmtId="0" fontId="125" fillId="0" borderId="142" xfId="93" applyFont="1" applyBorder="1" applyAlignment="1">
      <alignment horizontal="center" vertical="center"/>
    </xf>
    <xf numFmtId="0" fontId="125" fillId="0" borderId="135" xfId="93" applyFont="1" applyBorder="1" applyAlignment="1">
      <alignment horizontal="center" vertical="center"/>
    </xf>
    <xf numFmtId="0" fontId="125" fillId="0" borderId="141" xfId="93" applyFont="1" applyBorder="1" applyAlignment="1">
      <alignment horizontal="center" vertical="center"/>
    </xf>
    <xf numFmtId="0" fontId="125" fillId="0" borderId="82" xfId="93" applyFont="1" applyBorder="1" applyAlignment="1">
      <alignment horizontal="center"/>
    </xf>
    <xf numFmtId="0" fontId="125" fillId="0" borderId="142" xfId="93" applyFont="1" applyBorder="1" applyAlignment="1">
      <alignment horizontal="center"/>
    </xf>
    <xf numFmtId="0" fontId="125" fillId="0" borderId="131" xfId="93" applyFont="1" applyBorder="1" applyAlignment="1">
      <alignment horizontal="center" vertical="center"/>
    </xf>
    <xf numFmtId="0" fontId="125" fillId="0" borderId="100" xfId="93" applyFont="1" applyBorder="1" applyAlignment="1">
      <alignment horizontal="center" vertical="center"/>
    </xf>
    <xf numFmtId="0" fontId="125" fillId="0" borderId="135" xfId="93" applyFont="1" applyBorder="1" applyAlignment="1">
      <alignment horizontal="center"/>
    </xf>
    <xf numFmtId="0" fontId="125" fillId="0" borderId="141" xfId="93" applyFont="1" applyBorder="1" applyAlignment="1">
      <alignment horizontal="center"/>
    </xf>
    <xf numFmtId="0" fontId="110" fillId="0" borderId="37" xfId="0" applyFont="1" applyBorder="1" applyAlignment="1">
      <alignment wrapText="1"/>
    </xf>
    <xf numFmtId="0" fontId="110" fillId="0" borderId="39" xfId="0" applyFont="1" applyBorder="1"/>
    <xf numFmtId="3" fontId="109" fillId="0" borderId="0" xfId="94" applyNumberFormat="1" applyFont="1" applyAlignment="1">
      <alignment horizontal="center"/>
    </xf>
    <xf numFmtId="3" fontId="109" fillId="0" borderId="20" xfId="94" applyNumberFormat="1" applyFont="1" applyBorder="1" applyAlignment="1">
      <alignment horizontal="center"/>
    </xf>
    <xf numFmtId="3" fontId="109" fillId="0" borderId="93" xfId="94" applyNumberFormat="1" applyFont="1" applyBorder="1" applyAlignment="1">
      <alignment horizontal="center"/>
    </xf>
    <xf numFmtId="3" fontId="109" fillId="0" borderId="81" xfId="94" applyNumberFormat="1" applyFont="1" applyBorder="1" applyAlignment="1">
      <alignment horizontal="center"/>
    </xf>
    <xf numFmtId="3" fontId="110" fillId="0" borderId="37" xfId="94" applyNumberFormat="1" applyFont="1" applyBorder="1" applyAlignment="1">
      <alignment horizontal="left" wrapText="1"/>
    </xf>
    <xf numFmtId="3" fontId="110" fillId="0" borderId="39" xfId="94" applyNumberFormat="1" applyFont="1" applyBorder="1" applyAlignment="1">
      <alignment horizontal="left" wrapText="1"/>
    </xf>
    <xf numFmtId="3" fontId="110" fillId="0" borderId="0" xfId="94" applyNumberFormat="1" applyFont="1" applyAlignment="1">
      <alignment wrapText="1"/>
    </xf>
    <xf numFmtId="0" fontId="110" fillId="0" borderId="31" xfId="0" applyFont="1" applyBorder="1"/>
    <xf numFmtId="0" fontId="82" fillId="0" borderId="0" xfId="96" applyFont="1" applyAlignment="1">
      <alignment horizontal="center"/>
    </xf>
    <xf numFmtId="0" fontId="82" fillId="0" borderId="23" xfId="101" applyFont="1" applyBorder="1" applyAlignment="1">
      <alignment horizontal="center" vertical="center"/>
    </xf>
    <xf numFmtId="0" fontId="81" fillId="0" borderId="46" xfId="101" applyFont="1" applyBorder="1" applyAlignment="1">
      <alignment horizontal="center" vertical="center"/>
    </xf>
    <xf numFmtId="0" fontId="81" fillId="0" borderId="63" xfId="101" applyFont="1" applyBorder="1" applyAlignment="1">
      <alignment horizontal="center" vertical="center"/>
    </xf>
    <xf numFmtId="0" fontId="82" fillId="0" borderId="18" xfId="101" applyFont="1" applyBorder="1" applyAlignment="1">
      <alignment horizontal="center" vertical="center"/>
    </xf>
    <xf numFmtId="0" fontId="81" fillId="0" borderId="0" xfId="101" applyFont="1" applyAlignment="1">
      <alignment horizontal="center" vertical="center"/>
    </xf>
    <xf numFmtId="0" fontId="81" fillId="0" borderId="31" xfId="101" applyFont="1" applyBorder="1" applyAlignment="1">
      <alignment horizontal="center" vertical="center"/>
    </xf>
    <xf numFmtId="0" fontId="81" fillId="0" borderId="19" xfId="101" applyFont="1" applyBorder="1"/>
    <xf numFmtId="0" fontId="81" fillId="0" borderId="16" xfId="101" applyFont="1" applyBorder="1"/>
    <xf numFmtId="0" fontId="81" fillId="0" borderId="99" xfId="101" applyFont="1" applyBorder="1"/>
    <xf numFmtId="0" fontId="82" fillId="0" borderId="45" xfId="101" applyFont="1" applyBorder="1" applyAlignment="1">
      <alignment horizontal="center" vertical="center"/>
    </xf>
    <xf numFmtId="0" fontId="82" fillId="0" borderId="15" xfId="101" applyFont="1" applyBorder="1" applyAlignment="1">
      <alignment horizontal="center" vertical="center"/>
    </xf>
    <xf numFmtId="0" fontId="82" fillId="0" borderId="61" xfId="101" applyFont="1" applyBorder="1" applyAlignment="1">
      <alignment horizontal="center" vertical="center"/>
    </xf>
    <xf numFmtId="0" fontId="82" fillId="0" borderId="47" xfId="101" applyFont="1" applyBorder="1" applyAlignment="1">
      <alignment horizontal="center" vertical="center"/>
    </xf>
    <xf numFmtId="0" fontId="81" fillId="0" borderId="53" xfId="101" applyFont="1" applyBorder="1" applyAlignment="1">
      <alignment horizontal="center" vertical="center"/>
    </xf>
    <xf numFmtId="0" fontId="81" fillId="0" borderId="135" xfId="101" applyFont="1" applyBorder="1" applyAlignment="1">
      <alignment horizontal="center" vertical="center"/>
    </xf>
    <xf numFmtId="0" fontId="81" fillId="0" borderId="100" xfId="101" applyFont="1" applyBorder="1" applyAlignment="1">
      <alignment horizontal="center" vertical="center"/>
    </xf>
    <xf numFmtId="0" fontId="82" fillId="0" borderId="83" xfId="101" applyFont="1" applyBorder="1" applyAlignment="1">
      <alignment horizontal="center" vertical="center"/>
    </xf>
    <xf numFmtId="0" fontId="81" fillId="0" borderId="69" xfId="101" applyFont="1" applyBorder="1" applyAlignment="1">
      <alignment horizontal="center" vertical="center"/>
    </xf>
    <xf numFmtId="0" fontId="82" fillId="0" borderId="0" xfId="97" applyFont="1" applyAlignment="1">
      <alignment horizontal="center"/>
    </xf>
    <xf numFmtId="0" fontId="81" fillId="0" borderId="0" xfId="0" applyFont="1"/>
    <xf numFmtId="0" fontId="112" fillId="0" borderId="0" xfId="98" applyFont="1" applyAlignment="1">
      <alignment horizontal="center" wrapText="1"/>
    </xf>
    <xf numFmtId="0" fontId="112" fillId="0" borderId="0" xfId="98" applyFont="1" applyAlignment="1">
      <alignment horizontal="center"/>
    </xf>
    <xf numFmtId="0" fontId="112" fillId="0" borderId="83" xfId="98" applyFont="1" applyBorder="1" applyAlignment="1">
      <alignment horizontal="center" vertical="center" wrapText="1"/>
    </xf>
    <xf numFmtId="0" fontId="112" fillId="0" borderId="70" xfId="98" applyFont="1" applyBorder="1" applyAlignment="1">
      <alignment horizontal="center" vertical="center" wrapText="1"/>
    </xf>
    <xf numFmtId="0" fontId="112" fillId="0" borderId="119" xfId="98" applyFont="1" applyBorder="1" applyAlignment="1">
      <alignment horizontal="center" vertical="center"/>
    </xf>
    <xf numFmtId="0" fontId="112" fillId="0" borderId="133" xfId="98" applyFont="1" applyBorder="1" applyAlignment="1">
      <alignment horizontal="center" vertical="center"/>
    </xf>
    <xf numFmtId="0" fontId="112" fillId="0" borderId="120" xfId="98" applyFont="1" applyBorder="1" applyAlignment="1">
      <alignment horizontal="center" vertical="center"/>
    </xf>
  </cellXfs>
  <cellStyles count="109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7" xr:uid="{00000000-0005-0000-0000-000006000000}"/>
    <cellStyle name="20% - Accent2" xfId="8" xr:uid="{00000000-0005-0000-0000-000007000000}"/>
    <cellStyle name="20% - Accent3" xfId="9" xr:uid="{00000000-0005-0000-0000-000008000000}"/>
    <cellStyle name="20% - Accent4" xfId="10" xr:uid="{00000000-0005-0000-0000-000009000000}"/>
    <cellStyle name="20% - Accent5" xfId="11" xr:uid="{00000000-0005-0000-0000-00000A000000}"/>
    <cellStyle name="20% - Accent6" xfId="12" xr:uid="{00000000-0005-0000-0000-00000B000000}"/>
    <cellStyle name="40% - 1. jelölőszín" xfId="13" builtinId="31" customBuiltin="1"/>
    <cellStyle name="40% - 2. jelölőszín" xfId="14" builtinId="35" customBuiltin="1"/>
    <cellStyle name="40% - 3. jelölőszín" xfId="15" builtinId="39" customBuiltin="1"/>
    <cellStyle name="40% - 4. jelölőszín" xfId="16" builtinId="43" customBuiltin="1"/>
    <cellStyle name="40% - 5. jelölőszín" xfId="17" builtinId="47" customBuiltin="1"/>
    <cellStyle name="40% - 6. jelölőszín" xfId="18" builtinId="51" customBuiltin="1"/>
    <cellStyle name="40% - Accent1" xfId="19" xr:uid="{00000000-0005-0000-0000-000012000000}"/>
    <cellStyle name="40% - Accent2" xfId="20" xr:uid="{00000000-0005-0000-0000-000013000000}"/>
    <cellStyle name="40% - Accent3" xfId="21" xr:uid="{00000000-0005-0000-0000-000014000000}"/>
    <cellStyle name="40% - Accent4" xfId="22" xr:uid="{00000000-0005-0000-0000-000015000000}"/>
    <cellStyle name="40% - Accent5" xfId="23" xr:uid="{00000000-0005-0000-0000-000016000000}"/>
    <cellStyle name="40% - Accent6" xfId="24" xr:uid="{00000000-0005-0000-0000-000017000000}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60% - Accent1" xfId="31" xr:uid="{00000000-0005-0000-0000-00001E000000}"/>
    <cellStyle name="60% - Accent2" xfId="32" xr:uid="{00000000-0005-0000-0000-00001F000000}"/>
    <cellStyle name="60% - Accent3" xfId="33" xr:uid="{00000000-0005-0000-0000-000020000000}"/>
    <cellStyle name="60% - Accent4" xfId="34" xr:uid="{00000000-0005-0000-0000-000021000000}"/>
    <cellStyle name="60% - Accent5" xfId="35" xr:uid="{00000000-0005-0000-0000-000022000000}"/>
    <cellStyle name="60% - Accent6" xfId="36" xr:uid="{00000000-0005-0000-0000-000023000000}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Bevitel" xfId="44" builtinId="20" customBuiltin="1"/>
    <cellStyle name="Calculation" xfId="45" xr:uid="{00000000-0005-0000-0000-00002C000000}"/>
    <cellStyle name="Check Cell" xfId="46" xr:uid="{00000000-0005-0000-0000-00002D000000}"/>
    <cellStyle name="Cím" xfId="47" builtinId="15" customBuiltin="1"/>
    <cellStyle name="Címsor 1" xfId="48" builtinId="16" customBuiltin="1"/>
    <cellStyle name="Címsor 2" xfId="49" builtinId="17" customBuiltin="1"/>
    <cellStyle name="Címsor 3" xfId="50" builtinId="18" customBuiltin="1"/>
    <cellStyle name="Címsor 4" xfId="51" builtinId="19" customBuiltin="1"/>
    <cellStyle name="Ellenőrzőcella" xfId="52" builtinId="23" customBuiltin="1"/>
    <cellStyle name="Explanatory Text" xfId="53" xr:uid="{00000000-0005-0000-0000-000034000000}"/>
    <cellStyle name="Figyelmeztetés" xfId="54" builtinId="11" customBuiltin="1"/>
    <cellStyle name="Good" xfId="55" xr:uid="{00000000-0005-0000-0000-000036000000}"/>
    <cellStyle name="Heading 1" xfId="56" xr:uid="{00000000-0005-0000-0000-000037000000}"/>
    <cellStyle name="Heading 2" xfId="57" xr:uid="{00000000-0005-0000-0000-000038000000}"/>
    <cellStyle name="Heading 3" xfId="58" xr:uid="{00000000-0005-0000-0000-000039000000}"/>
    <cellStyle name="Heading 4" xfId="59" xr:uid="{00000000-0005-0000-0000-00003A000000}"/>
    <cellStyle name="Hivatkozott cella" xfId="60" builtinId="24" customBuiltin="1"/>
    <cellStyle name="Input" xfId="61" xr:uid="{00000000-0005-0000-0000-00003C000000}"/>
    <cellStyle name="Jegyzet" xfId="62" builtinId="10" customBuiltin="1"/>
    <cellStyle name="Jelölőszín (1)" xfId="63" xr:uid="{00000000-0005-0000-0000-00003E000000}"/>
    <cellStyle name="Jelölőszín (2)" xfId="64" xr:uid="{00000000-0005-0000-0000-00003F000000}"/>
    <cellStyle name="Jelölőszín (3)" xfId="65" xr:uid="{00000000-0005-0000-0000-000040000000}"/>
    <cellStyle name="Jelölőszín (4)" xfId="66" xr:uid="{00000000-0005-0000-0000-000041000000}"/>
    <cellStyle name="Jelölőszín (5)" xfId="67" xr:uid="{00000000-0005-0000-0000-000042000000}"/>
    <cellStyle name="Jelölőszín (6)" xfId="68" xr:uid="{00000000-0005-0000-0000-000043000000}"/>
    <cellStyle name="Jó" xfId="69" builtinId="26" customBuiltin="1"/>
    <cellStyle name="Kimenet" xfId="70" builtinId="21" customBuiltin="1"/>
    <cellStyle name="Linked Cell" xfId="71" xr:uid="{00000000-0005-0000-0000-000046000000}"/>
    <cellStyle name="Magyarázó szöveg" xfId="72" builtinId="53" customBuiltin="1"/>
    <cellStyle name="Neutral" xfId="73" xr:uid="{00000000-0005-0000-0000-000048000000}"/>
    <cellStyle name="Normál" xfId="0" builtinId="0"/>
    <cellStyle name="Normal 2" xfId="74" xr:uid="{00000000-0005-0000-0000-00004A000000}"/>
    <cellStyle name="Normál 2" xfId="75" xr:uid="{00000000-0005-0000-0000-00004B000000}"/>
    <cellStyle name="Normál 2 2" xfId="107" xr:uid="{85F28045-F248-4771-A275-9F0F132DA295}"/>
    <cellStyle name="Normál 3" xfId="76" xr:uid="{00000000-0005-0000-0000-00004C000000}"/>
    <cellStyle name="Normál 4" xfId="101" xr:uid="{0186D177-78B4-48B4-99C5-A02217D45C51}"/>
    <cellStyle name="Normál 5" xfId="98" xr:uid="{F93D01AC-1B5F-48F1-9540-CF66D3CF9B8C}"/>
    <cellStyle name="Normál 6" xfId="106" xr:uid="{A387097D-E55F-42DF-A884-1045BD051D70}"/>
    <cellStyle name="Normál 7" xfId="108" xr:uid="{1C01B9AD-2F24-4C4B-8391-7DC04870FF54}"/>
    <cellStyle name="Normál_99LETSZ_LETSZ02" xfId="102" xr:uid="{FF82E2C0-A48D-497C-9FFB-64D473D6FA68}"/>
    <cellStyle name="Normál_ESZKFOR" xfId="90" xr:uid="{CF4002E7-DD58-45C6-B5A6-A472336E0EE3}"/>
    <cellStyle name="Normál_GAZDTÁRS11" xfId="97" xr:uid="{AC9EEFA1-979D-4486-9484-4EC1307E47CE}"/>
    <cellStyle name="Normál_GAZDTÁRS13" xfId="96" xr:uid="{033DF783-F290-43F8-8271-380474EFD43D}"/>
    <cellStyle name="Normál_GUCIFEJL" xfId="77" xr:uid="{00000000-0005-0000-0000-00004D000000}"/>
    <cellStyle name="Normál_IKÖZI" xfId="105" xr:uid="{533F3B03-896B-4F6E-9FAC-C3439DE1A928}"/>
    <cellStyle name="Normál_kiemelt eik 2013" xfId="100" xr:uid="{DA5A12B8-C4C1-45BF-9C00-CAD28564448F}"/>
    <cellStyle name="Normál_kozvetetttam" xfId="88" xr:uid="{0274A069-9BC4-429E-B9F7-C09543E86252}"/>
    <cellStyle name="Normál_LAKAS" xfId="91" xr:uid="{15C6000B-4A60-4291-96E0-E38F90DA5B22}"/>
    <cellStyle name="Normál_LETSZ06" xfId="104" xr:uid="{03E46C11-E8D7-481D-A491-D3A5031809F4}"/>
    <cellStyle name="Normál_letsz2011" xfId="103" xr:uid="{449D999A-DC85-4369-B43E-067EBCBBB5B1}"/>
    <cellStyle name="Normál_módIV12önk" xfId="99" xr:uid="{DA71C689-4994-4433-A5CF-4B7431D9E93C}"/>
    <cellStyle name="Normál_Munkafüzet1" xfId="93" xr:uid="{D870425E-98D9-4E36-9A4D-6821DB1A3855}"/>
    <cellStyle name="Normál_Munkafüzet2" xfId="78" xr:uid="{00000000-0005-0000-0000-00004E000000}"/>
    <cellStyle name="Normál_SEGÉLY98" xfId="92" xr:uid="{6881639F-C05B-43AE-B887-4FE910116CD2}"/>
    <cellStyle name="Normál_TÖBBEV" xfId="89" xr:uid="{203A030E-E520-42EA-8EE7-6E713FEE5B78}"/>
    <cellStyle name="Normál_VAGYONRE" xfId="94" xr:uid="{4B865A72-7B23-4A51-8263-4594EF64F699}"/>
    <cellStyle name="Normál_VAGYONZ" xfId="95" xr:uid="{670112B9-A40B-448D-AE35-82920A2AA9BF}"/>
    <cellStyle name="Note" xfId="79" xr:uid="{00000000-0005-0000-0000-00004F000000}"/>
    <cellStyle name="Output" xfId="80" xr:uid="{00000000-0005-0000-0000-000050000000}"/>
    <cellStyle name="Összesen" xfId="81" builtinId="25" customBuiltin="1"/>
    <cellStyle name="Rossz" xfId="82" builtinId="27" customBuiltin="1"/>
    <cellStyle name="Semleges" xfId="83" builtinId="28" customBuiltin="1"/>
    <cellStyle name="Számítás" xfId="84" builtinId="22" customBuiltin="1"/>
    <cellStyle name="Title" xfId="85" xr:uid="{00000000-0005-0000-0000-000055000000}"/>
    <cellStyle name="Total" xfId="86" xr:uid="{00000000-0005-0000-0000-000056000000}"/>
    <cellStyle name="Warning Text" xfId="87" xr:uid="{00000000-0005-0000-0000-00005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iliana/Local%20Settings/Temporary%20Internet%20Files/OLK4D/norma_2008/0_eredeti/igeny_kieg_tablak/5_Kieg%20t&#225;bla%20k&#246;zs&#233;geknek%20a%203.%20sz&#225;m&#250;%20mell&#233;klethez_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iliana\Local%20Settings\Temporary%20Internet%20Files\OLK4D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kozgazd/2022/k&#246;lts&#233;gvet&#233;s/Int&#233;zm&#233;nyi%20k&#246;lts&#233;gvet&#233;s/Int&#233;zm&#233;nyi%20kgy%20t&#225;bl&#225;k/INTkvet&#233;s%20kgy%20t&#225;bla%20202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kozgazd/2022/Rendelet%20m&#243;dos&#237;t&#225;s/INTrend.m&#243;d.202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kozgazd/2022/Rendelet%20m&#243;dos&#237;t&#225;s/Int.l&#233;tsz&#225;m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.bevételek2022"/>
      <sheetName val="int.kiadások2022"/>
    </sheetNames>
    <sheetDataSet>
      <sheetData sheetId="0">
        <row r="9">
          <cell r="B9">
            <v>859</v>
          </cell>
          <cell r="L9">
            <v>166833</v>
          </cell>
        </row>
        <row r="10">
          <cell r="B10">
            <v>962</v>
          </cell>
          <cell r="L10">
            <v>124657</v>
          </cell>
        </row>
        <row r="11">
          <cell r="B11">
            <v>995</v>
          </cell>
          <cell r="L11">
            <v>119182</v>
          </cell>
        </row>
        <row r="12">
          <cell r="B12">
            <v>700</v>
          </cell>
          <cell r="L12">
            <v>148778</v>
          </cell>
        </row>
        <row r="13">
          <cell r="B13">
            <v>514</v>
          </cell>
          <cell r="L13">
            <v>132875</v>
          </cell>
        </row>
        <row r="14">
          <cell r="B14">
            <v>676</v>
          </cell>
          <cell r="L14">
            <v>120838</v>
          </cell>
        </row>
        <row r="15">
          <cell r="B15">
            <v>820</v>
          </cell>
          <cell r="L15">
            <v>101409</v>
          </cell>
        </row>
        <row r="16">
          <cell r="B16">
            <v>745</v>
          </cell>
          <cell r="L16">
            <v>95154</v>
          </cell>
        </row>
        <row r="17">
          <cell r="B17">
            <v>750</v>
          </cell>
          <cell r="L17">
            <v>126754</v>
          </cell>
        </row>
        <row r="18">
          <cell r="B18">
            <v>525</v>
          </cell>
          <cell r="L18">
            <v>159062</v>
          </cell>
        </row>
        <row r="19">
          <cell r="B19">
            <v>263</v>
          </cell>
          <cell r="L19">
            <v>82201</v>
          </cell>
        </row>
        <row r="20">
          <cell r="B20">
            <v>415</v>
          </cell>
          <cell r="L20">
            <v>72388</v>
          </cell>
        </row>
        <row r="21">
          <cell r="B21">
            <v>656</v>
          </cell>
          <cell r="L21">
            <v>97877</v>
          </cell>
        </row>
        <row r="22">
          <cell r="B22">
            <v>452</v>
          </cell>
          <cell r="L22">
            <v>107531</v>
          </cell>
        </row>
        <row r="23">
          <cell r="B23">
            <v>1063</v>
          </cell>
          <cell r="L23">
            <v>151026</v>
          </cell>
        </row>
        <row r="24">
          <cell r="B24">
            <v>455</v>
          </cell>
          <cell r="L24">
            <v>123580</v>
          </cell>
        </row>
        <row r="25">
          <cell r="B25">
            <v>298</v>
          </cell>
          <cell r="L25">
            <v>87573</v>
          </cell>
        </row>
        <row r="26">
          <cell r="B26">
            <v>297</v>
          </cell>
          <cell r="L26">
            <v>70734</v>
          </cell>
        </row>
        <row r="28">
          <cell r="B28">
            <v>396402</v>
          </cell>
          <cell r="L28">
            <v>1219735</v>
          </cell>
        </row>
        <row r="32">
          <cell r="B32">
            <v>25400</v>
          </cell>
          <cell r="L32">
            <v>106595</v>
          </cell>
        </row>
        <row r="33">
          <cell r="B33">
            <v>68788</v>
          </cell>
          <cell r="L33">
            <v>395262</v>
          </cell>
        </row>
        <row r="34">
          <cell r="B34">
            <v>24000</v>
          </cell>
          <cell r="L34">
            <v>238263</v>
          </cell>
        </row>
        <row r="35">
          <cell r="B35">
            <v>175509</v>
          </cell>
          <cell r="C35">
            <v>14324</v>
          </cell>
          <cell r="L35">
            <v>393922</v>
          </cell>
        </row>
        <row r="38">
          <cell r="B38">
            <v>107207</v>
          </cell>
          <cell r="L38">
            <v>899844</v>
          </cell>
        </row>
        <row r="40">
          <cell r="B40">
            <v>40951</v>
          </cell>
          <cell r="C40">
            <v>648164</v>
          </cell>
          <cell r="I40">
            <v>2655</v>
          </cell>
          <cell r="L40">
            <v>446177</v>
          </cell>
          <cell r="M40">
            <v>1778</v>
          </cell>
        </row>
        <row r="42">
          <cell r="B42">
            <v>61606</v>
          </cell>
          <cell r="L42">
            <v>1109545</v>
          </cell>
        </row>
        <row r="44">
          <cell r="B44">
            <v>146450</v>
          </cell>
        </row>
        <row r="45">
          <cell r="B45">
            <v>14150</v>
          </cell>
          <cell r="E45">
            <v>1850</v>
          </cell>
          <cell r="L45">
            <v>2250042</v>
          </cell>
          <cell r="M45">
            <v>88490</v>
          </cell>
        </row>
      </sheetData>
      <sheetData sheetId="1">
        <row r="9">
          <cell r="B9">
            <v>141945</v>
          </cell>
          <cell r="C9">
            <v>21456</v>
          </cell>
          <cell r="D9">
            <v>4291</v>
          </cell>
        </row>
        <row r="10">
          <cell r="B10">
            <v>108799</v>
          </cell>
          <cell r="C10">
            <v>14381</v>
          </cell>
          <cell r="D10">
            <v>2439</v>
          </cell>
        </row>
        <row r="11">
          <cell r="B11">
            <v>103485</v>
          </cell>
          <cell r="C11">
            <v>13736</v>
          </cell>
          <cell r="D11">
            <v>2956</v>
          </cell>
        </row>
        <row r="12">
          <cell r="B12">
            <v>127028</v>
          </cell>
          <cell r="C12">
            <v>19231</v>
          </cell>
          <cell r="D12">
            <v>3219</v>
          </cell>
        </row>
        <row r="13">
          <cell r="B13">
            <v>113350</v>
          </cell>
          <cell r="C13">
            <v>17191</v>
          </cell>
          <cell r="D13">
            <v>2848</v>
          </cell>
        </row>
        <row r="14">
          <cell r="B14">
            <v>105172</v>
          </cell>
          <cell r="C14">
            <v>13782</v>
          </cell>
          <cell r="D14">
            <v>2560</v>
          </cell>
        </row>
        <row r="15">
          <cell r="B15">
            <v>88224</v>
          </cell>
          <cell r="C15">
            <v>11673</v>
          </cell>
          <cell r="D15">
            <v>2332</v>
          </cell>
        </row>
        <row r="16">
          <cell r="B16">
            <v>82610</v>
          </cell>
          <cell r="C16">
            <v>10911</v>
          </cell>
          <cell r="D16">
            <v>2378</v>
          </cell>
        </row>
        <row r="17">
          <cell r="B17">
            <v>108048</v>
          </cell>
          <cell r="C17">
            <v>16510</v>
          </cell>
          <cell r="D17">
            <v>2946</v>
          </cell>
        </row>
        <row r="18">
          <cell r="B18">
            <v>135764</v>
          </cell>
          <cell r="C18">
            <v>20458</v>
          </cell>
          <cell r="D18">
            <v>3365</v>
          </cell>
        </row>
        <row r="19">
          <cell r="B19">
            <v>70992</v>
          </cell>
          <cell r="C19">
            <v>9326</v>
          </cell>
          <cell r="D19">
            <v>2146</v>
          </cell>
        </row>
        <row r="20">
          <cell r="B20">
            <v>62657</v>
          </cell>
          <cell r="C20">
            <v>8223</v>
          </cell>
          <cell r="D20">
            <v>1923</v>
          </cell>
        </row>
        <row r="21">
          <cell r="B21">
            <v>84874</v>
          </cell>
          <cell r="C21">
            <v>11115</v>
          </cell>
          <cell r="D21">
            <v>2544</v>
          </cell>
        </row>
        <row r="22">
          <cell r="B22">
            <v>93012</v>
          </cell>
          <cell r="C22">
            <v>12408</v>
          </cell>
          <cell r="D22">
            <v>2563</v>
          </cell>
        </row>
        <row r="23">
          <cell r="B23">
            <v>129392</v>
          </cell>
          <cell r="C23">
            <v>19531</v>
          </cell>
          <cell r="D23">
            <v>3166</v>
          </cell>
        </row>
        <row r="24">
          <cell r="B24">
            <v>107496</v>
          </cell>
          <cell r="C24">
            <v>14148</v>
          </cell>
          <cell r="D24">
            <v>2391</v>
          </cell>
        </row>
        <row r="25">
          <cell r="B25">
            <v>75505</v>
          </cell>
          <cell r="C25">
            <v>9852</v>
          </cell>
          <cell r="D25">
            <v>2514</v>
          </cell>
        </row>
        <row r="26">
          <cell r="B26">
            <v>60582</v>
          </cell>
          <cell r="C26">
            <v>7903</v>
          </cell>
          <cell r="D26">
            <v>2546</v>
          </cell>
        </row>
        <row r="28">
          <cell r="B28">
            <v>242715</v>
          </cell>
          <cell r="C28">
            <v>36120</v>
          </cell>
          <cell r="D28">
            <v>1337302</v>
          </cell>
        </row>
        <row r="32">
          <cell r="B32">
            <v>93799</v>
          </cell>
          <cell r="C32">
            <v>12031</v>
          </cell>
          <cell r="D32">
            <v>26165</v>
          </cell>
        </row>
        <row r="33">
          <cell r="B33">
            <v>357129</v>
          </cell>
          <cell r="C33">
            <v>47895</v>
          </cell>
          <cell r="D33">
            <v>59026</v>
          </cell>
        </row>
        <row r="34">
          <cell r="B34">
            <v>183121</v>
          </cell>
          <cell r="C34">
            <v>23869</v>
          </cell>
          <cell r="D34">
            <v>55273</v>
          </cell>
        </row>
        <row r="35">
          <cell r="B35">
            <v>393571</v>
          </cell>
          <cell r="C35">
            <v>51193</v>
          </cell>
          <cell r="D35">
            <v>138991</v>
          </cell>
        </row>
        <row r="38">
          <cell r="B38">
            <v>632951</v>
          </cell>
          <cell r="C38">
            <v>101478</v>
          </cell>
          <cell r="D38">
            <v>272622</v>
          </cell>
        </row>
        <row r="40">
          <cell r="B40">
            <v>725627</v>
          </cell>
          <cell r="C40">
            <v>103249</v>
          </cell>
          <cell r="D40">
            <v>306416</v>
          </cell>
          <cell r="I40">
            <v>4433</v>
          </cell>
        </row>
        <row r="42">
          <cell r="B42">
            <v>889624</v>
          </cell>
          <cell r="C42">
            <v>135876</v>
          </cell>
          <cell r="D42">
            <v>145651</v>
          </cell>
        </row>
        <row r="44">
          <cell r="B44">
            <v>60737</v>
          </cell>
          <cell r="C44">
            <v>8074</v>
          </cell>
          <cell r="D44">
            <v>63040</v>
          </cell>
          <cell r="F44">
            <v>9299</v>
          </cell>
          <cell r="I44">
            <v>5300</v>
          </cell>
        </row>
        <row r="45">
          <cell r="B45">
            <v>1665471</v>
          </cell>
          <cell r="C45">
            <v>246824</v>
          </cell>
          <cell r="D45">
            <v>349797</v>
          </cell>
          <cell r="F45">
            <v>3950</v>
          </cell>
          <cell r="I45">
            <v>88490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.bevételek RM I maradvány"/>
      <sheetName val="int.kiadások RM I maradvány"/>
      <sheetName val="int.bevételek RM I"/>
      <sheetName val="int.kiadások RM I"/>
      <sheetName val="int.bevételek RM II"/>
      <sheetName val="int.kiadások RM II"/>
      <sheetName val="int.bevételek RM III"/>
      <sheetName val="int.kiadások RM III"/>
      <sheetName val="int.bevételek RM IV"/>
      <sheetName val="int.kiadások RM IV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D10">
            <v>2188</v>
          </cell>
          <cell r="G10">
            <v>0</v>
          </cell>
          <cell r="J10">
            <v>0</v>
          </cell>
          <cell r="M10">
            <v>0</v>
          </cell>
          <cell r="T10">
            <v>0</v>
          </cell>
          <cell r="W10">
            <v>0</v>
          </cell>
          <cell r="Z10">
            <v>0</v>
          </cell>
          <cell r="AJ10">
            <v>4014</v>
          </cell>
          <cell r="AM10">
            <v>170357</v>
          </cell>
          <cell r="AP10">
            <v>4662</v>
          </cell>
        </row>
        <row r="11">
          <cell r="D11">
            <v>1354</v>
          </cell>
          <cell r="G11">
            <v>0</v>
          </cell>
          <cell r="J11">
            <v>0</v>
          </cell>
          <cell r="M11">
            <v>0</v>
          </cell>
          <cell r="T11">
            <v>0</v>
          </cell>
          <cell r="W11">
            <v>0</v>
          </cell>
          <cell r="Z11">
            <v>0</v>
          </cell>
          <cell r="AJ11">
            <v>2044</v>
          </cell>
          <cell r="AM11">
            <v>131035</v>
          </cell>
          <cell r="AP11">
            <v>1979</v>
          </cell>
        </row>
        <row r="12">
          <cell r="D12">
            <v>1563</v>
          </cell>
          <cell r="G12">
            <v>250</v>
          </cell>
          <cell r="J12">
            <v>0</v>
          </cell>
          <cell r="M12">
            <v>0</v>
          </cell>
          <cell r="T12">
            <v>0</v>
          </cell>
          <cell r="W12">
            <v>0</v>
          </cell>
          <cell r="Z12">
            <v>0</v>
          </cell>
          <cell r="AJ12">
            <v>1053</v>
          </cell>
          <cell r="AM12">
            <v>119552</v>
          </cell>
          <cell r="AP12">
            <v>5532</v>
          </cell>
        </row>
        <row r="13">
          <cell r="D13">
            <v>1409</v>
          </cell>
          <cell r="G13">
            <v>23</v>
          </cell>
          <cell r="J13">
            <v>0</v>
          </cell>
          <cell r="M13">
            <v>0</v>
          </cell>
          <cell r="T13">
            <v>0</v>
          </cell>
          <cell r="W13">
            <v>0</v>
          </cell>
          <cell r="Z13">
            <v>0</v>
          </cell>
          <cell r="AJ13">
            <v>2597</v>
          </cell>
          <cell r="AM13">
            <v>145197</v>
          </cell>
          <cell r="AP13">
            <v>838</v>
          </cell>
        </row>
        <row r="14">
          <cell r="D14">
            <v>1452</v>
          </cell>
          <cell r="G14">
            <v>101</v>
          </cell>
          <cell r="J14">
            <v>0</v>
          </cell>
          <cell r="M14">
            <v>0</v>
          </cell>
          <cell r="T14">
            <v>0</v>
          </cell>
          <cell r="W14">
            <v>0</v>
          </cell>
          <cell r="Z14">
            <v>0</v>
          </cell>
          <cell r="AJ14">
            <v>3883</v>
          </cell>
          <cell r="AM14">
            <v>136070</v>
          </cell>
          <cell r="AP14">
            <v>1884</v>
          </cell>
        </row>
        <row r="15">
          <cell r="D15">
            <v>1375</v>
          </cell>
          <cell r="G15">
            <v>0</v>
          </cell>
          <cell r="J15">
            <v>459</v>
          </cell>
          <cell r="M15">
            <v>0</v>
          </cell>
          <cell r="T15">
            <v>0</v>
          </cell>
          <cell r="W15">
            <v>0</v>
          </cell>
          <cell r="Z15">
            <v>0</v>
          </cell>
          <cell r="AJ15">
            <v>1604</v>
          </cell>
          <cell r="AM15">
            <v>121056</v>
          </cell>
          <cell r="AP15">
            <v>1793</v>
          </cell>
        </row>
        <row r="16">
          <cell r="D16">
            <v>1751</v>
          </cell>
          <cell r="G16">
            <v>0</v>
          </cell>
          <cell r="J16">
            <v>0</v>
          </cell>
          <cell r="M16">
            <v>0</v>
          </cell>
          <cell r="T16">
            <v>0</v>
          </cell>
          <cell r="W16">
            <v>0</v>
          </cell>
          <cell r="Z16">
            <v>0</v>
          </cell>
          <cell r="AJ16">
            <v>2114</v>
          </cell>
          <cell r="AM16">
            <v>102680</v>
          </cell>
          <cell r="AP16">
            <v>2121</v>
          </cell>
        </row>
        <row r="17">
          <cell r="D17">
            <v>1638</v>
          </cell>
          <cell r="G17">
            <v>0</v>
          </cell>
          <cell r="J17">
            <v>0</v>
          </cell>
          <cell r="M17">
            <v>0</v>
          </cell>
          <cell r="T17">
            <v>0</v>
          </cell>
          <cell r="W17">
            <v>0</v>
          </cell>
          <cell r="Z17">
            <v>0</v>
          </cell>
          <cell r="AJ17">
            <v>1917</v>
          </cell>
          <cell r="AM17">
            <v>97135</v>
          </cell>
          <cell r="AP17">
            <v>1734</v>
          </cell>
        </row>
        <row r="18">
          <cell r="D18">
            <v>984</v>
          </cell>
          <cell r="G18">
            <v>0</v>
          </cell>
          <cell r="J18">
            <v>0</v>
          </cell>
          <cell r="M18">
            <v>0</v>
          </cell>
          <cell r="T18">
            <v>0</v>
          </cell>
          <cell r="W18">
            <v>0</v>
          </cell>
          <cell r="Z18">
            <v>0</v>
          </cell>
          <cell r="AJ18">
            <v>2914</v>
          </cell>
          <cell r="AM18">
            <v>129920</v>
          </cell>
          <cell r="AP18">
            <v>10836</v>
          </cell>
        </row>
        <row r="19">
          <cell r="D19">
            <v>2803</v>
          </cell>
          <cell r="G19">
            <v>0</v>
          </cell>
          <cell r="J19">
            <v>0</v>
          </cell>
          <cell r="M19">
            <v>0</v>
          </cell>
          <cell r="T19">
            <v>0</v>
          </cell>
          <cell r="W19">
            <v>0</v>
          </cell>
          <cell r="Z19">
            <v>0</v>
          </cell>
          <cell r="AJ19">
            <v>3245</v>
          </cell>
          <cell r="AM19">
            <v>159078</v>
          </cell>
          <cell r="AP19">
            <v>467</v>
          </cell>
        </row>
        <row r="20">
          <cell r="D20">
            <v>638</v>
          </cell>
          <cell r="G20">
            <v>0</v>
          </cell>
          <cell r="J20">
            <v>0</v>
          </cell>
          <cell r="M20">
            <v>0</v>
          </cell>
          <cell r="T20">
            <v>0</v>
          </cell>
          <cell r="W20">
            <v>0</v>
          </cell>
          <cell r="Z20">
            <v>0</v>
          </cell>
          <cell r="AJ20">
            <v>787</v>
          </cell>
          <cell r="AM20">
            <v>83439</v>
          </cell>
          <cell r="AP20">
            <v>2243</v>
          </cell>
        </row>
        <row r="21">
          <cell r="D21">
            <v>1194</v>
          </cell>
          <cell r="G21">
            <v>0</v>
          </cell>
          <cell r="J21">
            <v>0</v>
          </cell>
          <cell r="M21">
            <v>0</v>
          </cell>
          <cell r="T21">
            <v>0</v>
          </cell>
          <cell r="W21">
            <v>0</v>
          </cell>
          <cell r="Z21">
            <v>0</v>
          </cell>
          <cell r="AJ21">
            <v>1183</v>
          </cell>
          <cell r="AM21">
            <v>75238</v>
          </cell>
          <cell r="AP21">
            <v>982</v>
          </cell>
        </row>
        <row r="22">
          <cell r="D22">
            <v>2029</v>
          </cell>
          <cell r="G22">
            <v>0</v>
          </cell>
          <cell r="J22">
            <v>0</v>
          </cell>
          <cell r="M22">
            <v>0</v>
          </cell>
          <cell r="T22">
            <v>0</v>
          </cell>
          <cell r="W22">
            <v>0</v>
          </cell>
          <cell r="Z22">
            <v>0</v>
          </cell>
          <cell r="AJ22">
            <v>1904</v>
          </cell>
          <cell r="AM22">
            <v>102379</v>
          </cell>
          <cell r="AP22">
            <v>1774</v>
          </cell>
        </row>
        <row r="23">
          <cell r="D23">
            <v>1409</v>
          </cell>
          <cell r="G23">
            <v>200</v>
          </cell>
          <cell r="J23">
            <v>0</v>
          </cell>
          <cell r="M23">
            <v>0</v>
          </cell>
          <cell r="T23">
            <v>0</v>
          </cell>
          <cell r="W23">
            <v>0</v>
          </cell>
          <cell r="Z23">
            <v>0</v>
          </cell>
          <cell r="AJ23">
            <v>954</v>
          </cell>
          <cell r="AM23">
            <v>108052</v>
          </cell>
          <cell r="AP23">
            <v>4869</v>
          </cell>
        </row>
        <row r="24">
          <cell r="D24">
            <v>2323</v>
          </cell>
          <cell r="G24">
            <v>50</v>
          </cell>
          <cell r="J24">
            <v>0</v>
          </cell>
          <cell r="M24">
            <v>0</v>
          </cell>
          <cell r="T24">
            <v>0</v>
          </cell>
          <cell r="W24">
            <v>0</v>
          </cell>
          <cell r="Z24">
            <v>0</v>
          </cell>
          <cell r="AJ24">
            <v>2991</v>
          </cell>
          <cell r="AM24">
            <v>155425</v>
          </cell>
          <cell r="AP24">
            <v>398</v>
          </cell>
        </row>
        <row r="25">
          <cell r="D25">
            <v>687</v>
          </cell>
          <cell r="G25">
            <v>63</v>
          </cell>
          <cell r="J25">
            <v>0</v>
          </cell>
          <cell r="M25">
            <v>0</v>
          </cell>
          <cell r="T25">
            <v>0</v>
          </cell>
          <cell r="W25">
            <v>0</v>
          </cell>
          <cell r="Z25">
            <v>0</v>
          </cell>
          <cell r="AJ25">
            <v>2519</v>
          </cell>
          <cell r="AM25">
            <v>121508</v>
          </cell>
          <cell r="AP25">
            <v>7986</v>
          </cell>
        </row>
        <row r="26">
          <cell r="D26">
            <v>743</v>
          </cell>
          <cell r="G26">
            <v>27</v>
          </cell>
          <cell r="J26">
            <v>0</v>
          </cell>
          <cell r="M26">
            <v>0</v>
          </cell>
          <cell r="T26">
            <v>0</v>
          </cell>
          <cell r="W26">
            <v>0</v>
          </cell>
          <cell r="Z26">
            <v>0</v>
          </cell>
          <cell r="AJ26">
            <v>1833</v>
          </cell>
          <cell r="AM26">
            <v>89330</v>
          </cell>
          <cell r="AP26">
            <v>1910</v>
          </cell>
        </row>
        <row r="27">
          <cell r="D27">
            <v>1486</v>
          </cell>
          <cell r="G27">
            <v>0</v>
          </cell>
          <cell r="J27">
            <v>0</v>
          </cell>
          <cell r="M27">
            <v>0</v>
          </cell>
          <cell r="T27">
            <v>0</v>
          </cell>
          <cell r="W27">
            <v>0</v>
          </cell>
          <cell r="Z27">
            <v>0</v>
          </cell>
          <cell r="AJ27">
            <v>1817</v>
          </cell>
          <cell r="AM27">
            <v>71070</v>
          </cell>
          <cell r="AP27">
            <v>1130</v>
          </cell>
        </row>
        <row r="29">
          <cell r="D29">
            <v>427933</v>
          </cell>
          <cell r="G29">
            <v>4893</v>
          </cell>
          <cell r="J29">
            <v>0</v>
          </cell>
          <cell r="M29">
            <v>0</v>
          </cell>
          <cell r="T29">
            <v>85</v>
          </cell>
          <cell r="W29">
            <v>0</v>
          </cell>
          <cell r="Z29">
            <v>0</v>
          </cell>
          <cell r="AJ29">
            <v>7221</v>
          </cell>
          <cell r="AM29">
            <v>1342722</v>
          </cell>
          <cell r="AP29">
            <v>64547</v>
          </cell>
        </row>
        <row r="33">
          <cell r="D33">
            <v>30034</v>
          </cell>
          <cell r="G33">
            <v>35495</v>
          </cell>
          <cell r="J33">
            <v>100</v>
          </cell>
          <cell r="M33">
            <v>0</v>
          </cell>
          <cell r="T33">
            <v>4300</v>
          </cell>
          <cell r="W33">
            <v>7544</v>
          </cell>
          <cell r="Z33">
            <v>0</v>
          </cell>
          <cell r="AJ33">
            <v>22391</v>
          </cell>
          <cell r="AM33">
            <v>106686</v>
          </cell>
          <cell r="AP33">
            <v>14894</v>
          </cell>
        </row>
        <row r="34">
          <cell r="D34">
            <v>107825</v>
          </cell>
          <cell r="G34">
            <v>180478</v>
          </cell>
          <cell r="J34">
            <v>1000</v>
          </cell>
          <cell r="M34">
            <v>0</v>
          </cell>
          <cell r="T34">
            <v>0</v>
          </cell>
          <cell r="W34">
            <v>13793</v>
          </cell>
          <cell r="Z34">
            <v>0</v>
          </cell>
          <cell r="AJ34">
            <v>188676</v>
          </cell>
          <cell r="AM34">
            <v>409800</v>
          </cell>
          <cell r="AP34">
            <v>34000</v>
          </cell>
        </row>
        <row r="35">
          <cell r="D35">
            <v>31696</v>
          </cell>
          <cell r="G35">
            <v>50237</v>
          </cell>
          <cell r="J35">
            <v>0</v>
          </cell>
          <cell r="M35">
            <v>0</v>
          </cell>
          <cell r="T35">
            <v>0</v>
          </cell>
          <cell r="W35">
            <v>0</v>
          </cell>
          <cell r="Z35">
            <v>0</v>
          </cell>
          <cell r="AJ35">
            <v>30058</v>
          </cell>
          <cell r="AM35">
            <v>409216</v>
          </cell>
          <cell r="AP35">
            <v>19690</v>
          </cell>
        </row>
        <row r="36">
          <cell r="D36">
            <v>153028</v>
          </cell>
          <cell r="G36">
            <v>203477</v>
          </cell>
          <cell r="J36">
            <v>371</v>
          </cell>
          <cell r="M36">
            <v>0</v>
          </cell>
          <cell r="T36">
            <v>0</v>
          </cell>
          <cell r="W36">
            <v>16245</v>
          </cell>
          <cell r="Z36">
            <v>0</v>
          </cell>
          <cell r="AJ36">
            <v>38382</v>
          </cell>
          <cell r="AM36">
            <v>461678</v>
          </cell>
          <cell r="AP36">
            <v>7247</v>
          </cell>
        </row>
        <row r="39">
          <cell r="D39">
            <v>148272</v>
          </cell>
          <cell r="G39">
            <v>1276</v>
          </cell>
          <cell r="J39">
            <v>83</v>
          </cell>
          <cell r="M39">
            <v>0</v>
          </cell>
          <cell r="T39">
            <v>0</v>
          </cell>
          <cell r="W39">
            <v>0</v>
          </cell>
          <cell r="Z39">
            <v>0</v>
          </cell>
          <cell r="AJ39">
            <v>125</v>
          </cell>
          <cell r="AM39">
            <v>1165607</v>
          </cell>
          <cell r="AP39">
            <v>6078</v>
          </cell>
        </row>
        <row r="41">
          <cell r="D41">
            <v>38025</v>
          </cell>
          <cell r="G41">
            <v>683333</v>
          </cell>
          <cell r="J41">
            <v>970</v>
          </cell>
          <cell r="M41">
            <v>0</v>
          </cell>
          <cell r="T41">
            <v>141</v>
          </cell>
          <cell r="W41">
            <v>3695</v>
          </cell>
          <cell r="AJ41">
            <v>70242</v>
          </cell>
          <cell r="AM41">
            <v>499862</v>
          </cell>
          <cell r="AP41">
            <v>38372</v>
          </cell>
        </row>
        <row r="43">
          <cell r="D43">
            <v>70730</v>
          </cell>
          <cell r="G43">
            <v>13423</v>
          </cell>
          <cell r="J43">
            <v>0</v>
          </cell>
          <cell r="M43">
            <v>0</v>
          </cell>
          <cell r="T43">
            <v>2</v>
          </cell>
          <cell r="W43">
            <v>0</v>
          </cell>
          <cell r="Z43">
            <v>0</v>
          </cell>
          <cell r="AJ43">
            <v>1024</v>
          </cell>
          <cell r="AM43">
            <v>1138432</v>
          </cell>
          <cell r="AP43">
            <v>38519</v>
          </cell>
        </row>
        <row r="45">
          <cell r="D45">
            <v>153738</v>
          </cell>
          <cell r="G45">
            <v>0</v>
          </cell>
          <cell r="J45">
            <v>0</v>
          </cell>
          <cell r="M45">
            <v>0</v>
          </cell>
          <cell r="T45">
            <v>62</v>
          </cell>
          <cell r="W45">
            <v>0</v>
          </cell>
          <cell r="Z45">
            <v>0</v>
          </cell>
          <cell r="AJ45">
            <v>28618</v>
          </cell>
          <cell r="AM45">
            <v>1753</v>
          </cell>
          <cell r="AP45">
            <v>4898</v>
          </cell>
        </row>
        <row r="46">
          <cell r="D46">
            <v>16998</v>
          </cell>
          <cell r="G46">
            <v>53168</v>
          </cell>
          <cell r="J46">
            <v>0</v>
          </cell>
          <cell r="M46">
            <v>1850</v>
          </cell>
          <cell r="T46">
            <v>789</v>
          </cell>
          <cell r="W46">
            <v>0</v>
          </cell>
          <cell r="Z46">
            <v>0</v>
          </cell>
          <cell r="AJ46">
            <v>61210</v>
          </cell>
          <cell r="AM46">
            <v>2378938</v>
          </cell>
          <cell r="AP46">
            <v>112477</v>
          </cell>
        </row>
      </sheetData>
      <sheetData sheetId="7">
        <row r="10">
          <cell r="D10">
            <v>146490</v>
          </cell>
          <cell r="G10">
            <v>22557</v>
          </cell>
          <cell r="J10">
            <v>7512</v>
          </cell>
          <cell r="N10">
            <v>0</v>
          </cell>
          <cell r="Q10">
            <v>0</v>
          </cell>
          <cell r="X10">
            <v>4662</v>
          </cell>
          <cell r="AA10">
            <v>0</v>
          </cell>
          <cell r="AD10">
            <v>0</v>
          </cell>
        </row>
        <row r="11">
          <cell r="D11">
            <v>113618</v>
          </cell>
          <cell r="G11">
            <v>15133</v>
          </cell>
          <cell r="J11">
            <v>5682</v>
          </cell>
          <cell r="N11">
            <v>0</v>
          </cell>
          <cell r="Q11">
            <v>0</v>
          </cell>
          <cell r="X11">
            <v>1979</v>
          </cell>
          <cell r="AA11">
            <v>0</v>
          </cell>
          <cell r="AD11">
            <v>0</v>
          </cell>
        </row>
        <row r="12">
          <cell r="D12">
            <v>103171</v>
          </cell>
          <cell r="G12">
            <v>13752</v>
          </cell>
          <cell r="J12">
            <v>5495</v>
          </cell>
          <cell r="N12">
            <v>0</v>
          </cell>
          <cell r="Q12">
            <v>0</v>
          </cell>
          <cell r="X12">
            <v>5380</v>
          </cell>
          <cell r="AA12">
            <v>152</v>
          </cell>
          <cell r="AD12">
            <v>0</v>
          </cell>
        </row>
        <row r="13">
          <cell r="D13">
            <v>126472</v>
          </cell>
          <cell r="G13">
            <v>17521</v>
          </cell>
          <cell r="J13">
            <v>5233</v>
          </cell>
          <cell r="N13">
            <v>0</v>
          </cell>
          <cell r="Q13">
            <v>0</v>
          </cell>
          <cell r="X13">
            <v>838</v>
          </cell>
          <cell r="AA13">
            <v>0</v>
          </cell>
          <cell r="AD13">
            <v>0</v>
          </cell>
        </row>
        <row r="14">
          <cell r="D14">
            <v>118362</v>
          </cell>
          <cell r="G14">
            <v>16605</v>
          </cell>
          <cell r="J14">
            <v>6539</v>
          </cell>
          <cell r="N14">
            <v>0</v>
          </cell>
          <cell r="Q14">
            <v>0</v>
          </cell>
          <cell r="X14">
            <v>1884</v>
          </cell>
          <cell r="AA14">
            <v>0</v>
          </cell>
          <cell r="AD14">
            <v>0</v>
          </cell>
        </row>
        <row r="15">
          <cell r="D15">
            <v>103578</v>
          </cell>
          <cell r="G15">
            <v>15361</v>
          </cell>
          <cell r="J15">
            <v>5555</v>
          </cell>
          <cell r="N15">
            <v>0</v>
          </cell>
          <cell r="Q15">
            <v>0</v>
          </cell>
          <cell r="X15">
            <v>1148</v>
          </cell>
          <cell r="AA15">
            <v>645</v>
          </cell>
          <cell r="AD15">
            <v>0</v>
          </cell>
        </row>
        <row r="16">
          <cell r="D16">
            <v>90446</v>
          </cell>
          <cell r="G16">
            <v>12133</v>
          </cell>
          <cell r="J16">
            <v>3966</v>
          </cell>
          <cell r="N16">
            <v>0</v>
          </cell>
          <cell r="Q16">
            <v>0</v>
          </cell>
          <cell r="X16">
            <v>260</v>
          </cell>
          <cell r="AA16">
            <v>1861</v>
          </cell>
          <cell r="AD16">
            <v>0</v>
          </cell>
        </row>
        <row r="17">
          <cell r="D17">
            <v>84978</v>
          </cell>
          <cell r="G17">
            <v>11131</v>
          </cell>
          <cell r="J17">
            <v>4581</v>
          </cell>
          <cell r="N17">
            <v>0</v>
          </cell>
          <cell r="Q17">
            <v>0</v>
          </cell>
          <cell r="X17">
            <v>1734</v>
          </cell>
          <cell r="AA17">
            <v>0</v>
          </cell>
          <cell r="AD17">
            <v>0</v>
          </cell>
        </row>
        <row r="18">
          <cell r="D18">
            <v>112333</v>
          </cell>
          <cell r="G18">
            <v>17282</v>
          </cell>
          <cell r="J18">
            <v>4203</v>
          </cell>
          <cell r="N18">
            <v>0</v>
          </cell>
          <cell r="Q18">
            <v>0</v>
          </cell>
          <cell r="X18">
            <v>2447</v>
          </cell>
          <cell r="AA18">
            <v>8389</v>
          </cell>
          <cell r="AD18">
            <v>0</v>
          </cell>
        </row>
        <row r="19">
          <cell r="D19">
            <v>137124</v>
          </cell>
          <cell r="G19">
            <v>20148</v>
          </cell>
          <cell r="J19">
            <v>7854</v>
          </cell>
          <cell r="N19">
            <v>0</v>
          </cell>
          <cell r="Q19">
            <v>0</v>
          </cell>
          <cell r="X19">
            <v>467</v>
          </cell>
          <cell r="AA19">
            <v>0</v>
          </cell>
          <cell r="AD19">
            <v>0</v>
          </cell>
        </row>
        <row r="20">
          <cell r="D20">
            <v>72427</v>
          </cell>
          <cell r="G20">
            <v>9824</v>
          </cell>
          <cell r="J20">
            <v>2613</v>
          </cell>
          <cell r="N20">
            <v>0</v>
          </cell>
          <cell r="Q20">
            <v>0</v>
          </cell>
          <cell r="X20">
            <v>2243</v>
          </cell>
          <cell r="AA20">
            <v>0</v>
          </cell>
          <cell r="AD20">
            <v>0</v>
          </cell>
        </row>
        <row r="21">
          <cell r="D21">
            <v>65023</v>
          </cell>
          <cell r="G21">
            <v>9177</v>
          </cell>
          <cell r="J21">
            <v>3415</v>
          </cell>
          <cell r="N21">
            <v>0</v>
          </cell>
          <cell r="Q21">
            <v>0</v>
          </cell>
          <cell r="X21">
            <v>982</v>
          </cell>
          <cell r="AA21">
            <v>0</v>
          </cell>
          <cell r="AD21">
            <v>0</v>
          </cell>
        </row>
        <row r="22">
          <cell r="D22">
            <v>90537</v>
          </cell>
          <cell r="G22">
            <v>10765</v>
          </cell>
          <cell r="J22">
            <v>5010</v>
          </cell>
          <cell r="N22">
            <v>0</v>
          </cell>
          <cell r="Q22">
            <v>0</v>
          </cell>
          <cell r="X22">
            <v>486</v>
          </cell>
          <cell r="AA22">
            <v>1288</v>
          </cell>
          <cell r="AD22">
            <v>0</v>
          </cell>
        </row>
        <row r="23">
          <cell r="D23">
            <v>94164</v>
          </cell>
          <cell r="G23">
            <v>12510</v>
          </cell>
          <cell r="J23">
            <v>3941</v>
          </cell>
          <cell r="N23">
            <v>0</v>
          </cell>
          <cell r="Q23">
            <v>0</v>
          </cell>
          <cell r="X23">
            <v>4869</v>
          </cell>
          <cell r="AA23">
            <v>0</v>
          </cell>
          <cell r="AD23">
            <v>0</v>
          </cell>
        </row>
        <row r="24">
          <cell r="D24">
            <v>132853</v>
          </cell>
          <cell r="G24">
            <v>20721</v>
          </cell>
          <cell r="J24">
            <v>7215</v>
          </cell>
          <cell r="N24">
            <v>0</v>
          </cell>
          <cell r="Q24">
            <v>0</v>
          </cell>
          <cell r="X24">
            <v>398</v>
          </cell>
          <cell r="AA24">
            <v>0</v>
          </cell>
          <cell r="AD24">
            <v>0</v>
          </cell>
        </row>
        <row r="25">
          <cell r="D25">
            <v>105031</v>
          </cell>
          <cell r="G25">
            <v>13887</v>
          </cell>
          <cell r="J25">
            <v>5859</v>
          </cell>
          <cell r="N25">
            <v>0</v>
          </cell>
          <cell r="Q25">
            <v>0</v>
          </cell>
          <cell r="X25">
            <v>7986</v>
          </cell>
          <cell r="AA25">
            <v>0</v>
          </cell>
          <cell r="AD25">
            <v>0</v>
          </cell>
        </row>
        <row r="26">
          <cell r="D26">
            <v>77706</v>
          </cell>
          <cell r="G26">
            <v>10151</v>
          </cell>
          <cell r="J26">
            <v>4076</v>
          </cell>
          <cell r="N26">
            <v>0</v>
          </cell>
          <cell r="Q26">
            <v>0</v>
          </cell>
          <cell r="X26">
            <v>1838</v>
          </cell>
          <cell r="AA26">
            <v>72</v>
          </cell>
          <cell r="AD26">
            <v>0</v>
          </cell>
        </row>
        <row r="27">
          <cell r="D27">
            <v>62629</v>
          </cell>
          <cell r="G27">
            <v>8268</v>
          </cell>
          <cell r="J27">
            <v>3476</v>
          </cell>
          <cell r="N27">
            <v>0</v>
          </cell>
          <cell r="Q27">
            <v>0</v>
          </cell>
          <cell r="X27">
            <v>1130</v>
          </cell>
          <cell r="AA27">
            <v>0</v>
          </cell>
          <cell r="AD27">
            <v>0</v>
          </cell>
        </row>
        <row r="29">
          <cell r="D29">
            <v>229803</v>
          </cell>
          <cell r="G29">
            <v>31065</v>
          </cell>
          <cell r="J29">
            <v>1521901</v>
          </cell>
          <cell r="N29">
            <v>0</v>
          </cell>
          <cell r="Q29">
            <v>0</v>
          </cell>
          <cell r="X29">
            <v>21638</v>
          </cell>
          <cell r="AA29">
            <v>42994</v>
          </cell>
          <cell r="AD29">
            <v>0</v>
          </cell>
        </row>
        <row r="33">
          <cell r="D33">
            <v>114091</v>
          </cell>
          <cell r="G33">
            <v>14886</v>
          </cell>
          <cell r="J33">
            <v>60730</v>
          </cell>
          <cell r="N33">
            <v>0</v>
          </cell>
          <cell r="Q33">
            <v>4999</v>
          </cell>
          <cell r="X33">
            <v>26738</v>
          </cell>
          <cell r="AA33">
            <v>0</v>
          </cell>
          <cell r="AD33">
            <v>0</v>
          </cell>
        </row>
        <row r="34">
          <cell r="D34">
            <v>506696</v>
          </cell>
          <cell r="G34">
            <v>62403</v>
          </cell>
          <cell r="J34">
            <v>318680</v>
          </cell>
          <cell r="N34">
            <v>0</v>
          </cell>
          <cell r="Q34">
            <v>0</v>
          </cell>
          <cell r="X34">
            <v>47793</v>
          </cell>
          <cell r="AA34">
            <v>0</v>
          </cell>
          <cell r="AD34">
            <v>0</v>
          </cell>
        </row>
        <row r="35">
          <cell r="D35">
            <v>235158</v>
          </cell>
          <cell r="G35">
            <v>30631</v>
          </cell>
          <cell r="J35">
            <v>255418</v>
          </cell>
          <cell r="N35">
            <v>0</v>
          </cell>
          <cell r="Q35">
            <v>0</v>
          </cell>
          <cell r="X35">
            <v>19690</v>
          </cell>
          <cell r="AA35">
            <v>0</v>
          </cell>
          <cell r="AD35">
            <v>0</v>
          </cell>
        </row>
        <row r="36">
          <cell r="D36">
            <v>457963</v>
          </cell>
          <cell r="G36">
            <v>63186</v>
          </cell>
          <cell r="J36">
            <v>335787</v>
          </cell>
          <cell r="N36">
            <v>0</v>
          </cell>
          <cell r="Q36">
            <v>0</v>
          </cell>
          <cell r="X36">
            <v>23492</v>
          </cell>
          <cell r="AA36">
            <v>0</v>
          </cell>
          <cell r="AD36">
            <v>0</v>
          </cell>
        </row>
        <row r="39">
          <cell r="D39">
            <v>814438</v>
          </cell>
          <cell r="G39">
            <v>125300</v>
          </cell>
          <cell r="J39">
            <v>375048</v>
          </cell>
          <cell r="N39">
            <v>0</v>
          </cell>
          <cell r="Q39">
            <v>577</v>
          </cell>
          <cell r="X39">
            <v>5678</v>
          </cell>
          <cell r="AA39">
            <v>400</v>
          </cell>
          <cell r="AD39">
            <v>0</v>
          </cell>
        </row>
        <row r="41">
          <cell r="D41">
            <v>793826</v>
          </cell>
          <cell r="G41">
            <v>116910</v>
          </cell>
          <cell r="J41">
            <v>379424</v>
          </cell>
          <cell r="N41">
            <v>0</v>
          </cell>
          <cell r="Q41">
            <v>2272</v>
          </cell>
          <cell r="X41">
            <v>18347</v>
          </cell>
          <cell r="AA41">
            <v>23861</v>
          </cell>
          <cell r="AD41">
            <v>0</v>
          </cell>
        </row>
        <row r="43">
          <cell r="D43">
            <v>911543</v>
          </cell>
          <cell r="G43">
            <v>138086</v>
          </cell>
          <cell r="J43">
            <v>173980</v>
          </cell>
          <cell r="N43">
            <v>0</v>
          </cell>
          <cell r="Q43">
            <v>0</v>
          </cell>
          <cell r="X43">
            <v>6830</v>
          </cell>
          <cell r="AA43">
            <v>31691</v>
          </cell>
          <cell r="AD43">
            <v>0</v>
          </cell>
        </row>
        <row r="45">
          <cell r="D45">
            <v>50456</v>
          </cell>
          <cell r="G45">
            <v>6815</v>
          </cell>
          <cell r="J45">
            <v>82741</v>
          </cell>
          <cell r="N45">
            <v>0</v>
          </cell>
          <cell r="Q45">
            <v>9299</v>
          </cell>
          <cell r="X45">
            <v>10173</v>
          </cell>
          <cell r="AA45">
            <v>29585</v>
          </cell>
          <cell r="AD45">
            <v>0</v>
          </cell>
        </row>
        <row r="46">
          <cell r="D46">
            <v>1811671</v>
          </cell>
          <cell r="G46">
            <v>270622</v>
          </cell>
          <cell r="J46">
            <v>418465</v>
          </cell>
          <cell r="N46">
            <v>0</v>
          </cell>
          <cell r="Q46">
            <v>11406</v>
          </cell>
          <cell r="X46">
            <v>113266</v>
          </cell>
          <cell r="AA46">
            <v>0</v>
          </cell>
          <cell r="AD46">
            <v>0</v>
          </cell>
        </row>
      </sheetData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étszám ei mód 2020-2021eltérés"/>
      <sheetName val="2022 évi nyitó létszám"/>
      <sheetName val="létszám ei mód RM I."/>
      <sheetName val="létszám ei mód RM II."/>
      <sheetName val="létszám ei mód RM III."/>
    </sheetNames>
    <sheetDataSet>
      <sheetData sheetId="0"/>
      <sheetData sheetId="1"/>
      <sheetData sheetId="2"/>
      <sheetData sheetId="3"/>
      <sheetData sheetId="4">
        <row r="9">
          <cell r="F9">
            <v>33</v>
          </cell>
          <cell r="G9">
            <v>33</v>
          </cell>
          <cell r="L9">
            <v>1</v>
          </cell>
          <cell r="M9">
            <v>1</v>
          </cell>
        </row>
        <row r="10">
          <cell r="F10">
            <v>23</v>
          </cell>
          <cell r="G10">
            <v>23</v>
          </cell>
          <cell r="L10">
            <v>1</v>
          </cell>
          <cell r="M10">
            <v>1</v>
          </cell>
        </row>
        <row r="11">
          <cell r="F11">
            <v>23</v>
          </cell>
          <cell r="G11">
            <v>23</v>
          </cell>
          <cell r="L11">
            <v>1</v>
          </cell>
          <cell r="M11">
            <v>1</v>
          </cell>
        </row>
        <row r="12">
          <cell r="F12">
            <v>28</v>
          </cell>
          <cell r="G12">
            <v>28</v>
          </cell>
          <cell r="L12">
            <v>1</v>
          </cell>
          <cell r="M12">
            <v>1</v>
          </cell>
        </row>
        <row r="13">
          <cell r="F13">
            <v>26</v>
          </cell>
          <cell r="G13">
            <v>26</v>
          </cell>
          <cell r="L13">
            <v>1</v>
          </cell>
          <cell r="M13">
            <v>1</v>
          </cell>
        </row>
        <row r="14">
          <cell r="F14">
            <v>23</v>
          </cell>
          <cell r="G14">
            <v>23</v>
          </cell>
          <cell r="L14">
            <v>1</v>
          </cell>
          <cell r="M14">
            <v>1</v>
          </cell>
        </row>
        <row r="15">
          <cell r="F15">
            <v>18</v>
          </cell>
          <cell r="G15">
            <v>18</v>
          </cell>
          <cell r="L15">
            <v>1</v>
          </cell>
          <cell r="M15">
            <v>1</v>
          </cell>
        </row>
        <row r="16">
          <cell r="F16">
            <v>18</v>
          </cell>
          <cell r="G16">
            <v>18</v>
          </cell>
          <cell r="L16">
            <v>1</v>
          </cell>
          <cell r="M16">
            <v>1</v>
          </cell>
        </row>
        <row r="17">
          <cell r="F17">
            <v>27</v>
          </cell>
          <cell r="G17">
            <v>27</v>
          </cell>
          <cell r="L17">
            <v>1</v>
          </cell>
          <cell r="M17">
            <v>1</v>
          </cell>
        </row>
        <row r="18">
          <cell r="F18">
            <v>29</v>
          </cell>
          <cell r="G18">
            <v>29</v>
          </cell>
          <cell r="L18">
            <v>1</v>
          </cell>
          <cell r="M18">
            <v>1</v>
          </cell>
        </row>
        <row r="19">
          <cell r="F19">
            <v>15</v>
          </cell>
          <cell r="G19">
            <v>15</v>
          </cell>
          <cell r="L19">
            <v>1</v>
          </cell>
          <cell r="M19">
            <v>1</v>
          </cell>
        </row>
        <row r="20">
          <cell r="F20">
            <v>12.5</v>
          </cell>
          <cell r="G20">
            <v>12</v>
          </cell>
          <cell r="L20">
            <v>1</v>
          </cell>
          <cell r="M20">
            <v>1</v>
          </cell>
        </row>
        <row r="21">
          <cell r="F21">
            <v>18</v>
          </cell>
          <cell r="G21">
            <v>18</v>
          </cell>
          <cell r="L21">
            <v>1</v>
          </cell>
          <cell r="M21">
            <v>1</v>
          </cell>
        </row>
        <row r="22">
          <cell r="F22">
            <v>20</v>
          </cell>
          <cell r="G22">
            <v>20</v>
          </cell>
          <cell r="L22">
            <v>1</v>
          </cell>
          <cell r="M22">
            <v>1</v>
          </cell>
        </row>
        <row r="23">
          <cell r="F23">
            <v>30</v>
          </cell>
          <cell r="G23">
            <v>30</v>
          </cell>
          <cell r="L23">
            <v>1</v>
          </cell>
          <cell r="M23">
            <v>1</v>
          </cell>
        </row>
        <row r="24">
          <cell r="F24">
            <v>23</v>
          </cell>
          <cell r="G24">
            <v>23</v>
          </cell>
          <cell r="L24">
            <v>1</v>
          </cell>
          <cell r="M24">
            <v>1</v>
          </cell>
        </row>
        <row r="25">
          <cell r="F25">
            <v>16</v>
          </cell>
          <cell r="G25">
            <v>16</v>
          </cell>
          <cell r="L25">
            <v>1</v>
          </cell>
          <cell r="M25">
            <v>1</v>
          </cell>
        </row>
        <row r="26">
          <cell r="F26">
            <v>11.5</v>
          </cell>
          <cell r="G26">
            <v>12</v>
          </cell>
          <cell r="L26">
            <v>1.5</v>
          </cell>
          <cell r="M26">
            <v>1</v>
          </cell>
        </row>
        <row r="28">
          <cell r="F28">
            <v>0</v>
          </cell>
          <cell r="G28">
            <v>0</v>
          </cell>
          <cell r="L28">
            <v>44</v>
          </cell>
          <cell r="M28">
            <v>44</v>
          </cell>
        </row>
        <row r="32">
          <cell r="F32">
            <v>18</v>
          </cell>
          <cell r="G32">
            <v>18</v>
          </cell>
          <cell r="L32">
            <v>1.5</v>
          </cell>
          <cell r="M32">
            <v>2</v>
          </cell>
        </row>
        <row r="33">
          <cell r="F33">
            <v>77</v>
          </cell>
          <cell r="G33">
            <v>77</v>
          </cell>
          <cell r="L33">
            <v>7.5</v>
          </cell>
          <cell r="M33">
            <v>7</v>
          </cell>
        </row>
        <row r="34">
          <cell r="F34">
            <v>35</v>
          </cell>
          <cell r="G34">
            <v>35</v>
          </cell>
          <cell r="L34">
            <v>11</v>
          </cell>
          <cell r="M34">
            <v>11</v>
          </cell>
        </row>
        <row r="35">
          <cell r="F35">
            <v>66.5</v>
          </cell>
          <cell r="G35">
            <v>67</v>
          </cell>
          <cell r="L35">
            <v>34.25</v>
          </cell>
          <cell r="M35">
            <v>34</v>
          </cell>
        </row>
        <row r="38">
          <cell r="F38">
            <v>169.25</v>
          </cell>
          <cell r="G38">
            <v>169</v>
          </cell>
          <cell r="L38">
            <v>21</v>
          </cell>
          <cell r="M38">
            <v>21</v>
          </cell>
        </row>
        <row r="40">
          <cell r="F40">
            <v>77</v>
          </cell>
          <cell r="G40">
            <v>77</v>
          </cell>
          <cell r="L40">
            <v>33</v>
          </cell>
          <cell r="M40">
            <v>33</v>
          </cell>
        </row>
        <row r="42">
          <cell r="F42">
            <v>135.01</v>
          </cell>
          <cell r="G42">
            <v>135</v>
          </cell>
          <cell r="L42">
            <v>40.74499999999999</v>
          </cell>
          <cell r="M42">
            <v>41</v>
          </cell>
        </row>
        <row r="44">
          <cell r="F44">
            <v>1</v>
          </cell>
          <cell r="G44">
            <v>1</v>
          </cell>
          <cell r="L44">
            <v>15</v>
          </cell>
          <cell r="M44">
            <v>15</v>
          </cell>
        </row>
        <row r="45">
          <cell r="F45">
            <v>278.5</v>
          </cell>
          <cell r="G45">
            <v>279</v>
          </cell>
          <cell r="L45">
            <v>0</v>
          </cell>
          <cell r="M4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95E2C-3FBA-42FC-A749-EAED89A69C31}">
  <dimension ref="A1:K41"/>
  <sheetViews>
    <sheetView zoomScale="75" zoomScaleNormal="75" workbookViewId="0">
      <selection activeCell="C134" sqref="C134"/>
    </sheetView>
  </sheetViews>
  <sheetFormatPr defaultRowHeight="15.75" x14ac:dyDescent="0.25"/>
  <cols>
    <col min="1" max="1" width="14.33203125" style="627" customWidth="1"/>
    <col min="2" max="2" width="121" style="627" customWidth="1"/>
    <col min="3" max="4" width="46.5" style="627" customWidth="1"/>
    <col min="5" max="5" width="46.33203125" style="628" customWidth="1"/>
    <col min="6" max="6" width="14.33203125" style="628" customWidth="1"/>
    <col min="7" max="7" width="121.1640625" style="627" customWidth="1"/>
    <col min="8" max="9" width="46.33203125" style="627" customWidth="1"/>
    <col min="10" max="10" width="46.33203125" style="628" customWidth="1"/>
    <col min="11" max="11" width="5.83203125" style="627" customWidth="1"/>
    <col min="12" max="246" width="9.33203125" style="627"/>
    <col min="247" max="247" width="14.33203125" style="627" customWidth="1"/>
    <col min="248" max="248" width="121" style="627" customWidth="1"/>
    <col min="249" max="249" width="37.6640625" style="627" customWidth="1"/>
    <col min="250" max="251" width="35.83203125" style="627" customWidth="1"/>
    <col min="252" max="252" width="14.33203125" style="627" customWidth="1"/>
    <col min="253" max="253" width="121" style="627" customWidth="1"/>
    <col min="254" max="254" width="37.1640625" style="627" customWidth="1"/>
    <col min="255" max="256" width="35.83203125" style="627" customWidth="1"/>
    <col min="257" max="258" width="18.1640625" style="627" customWidth="1"/>
    <col min="259" max="259" width="15" style="627" bestFit="1" customWidth="1"/>
    <col min="260" max="260" width="17.5" style="627" customWidth="1"/>
    <col min="261" max="502" width="9.33203125" style="627"/>
    <col min="503" max="503" width="14.33203125" style="627" customWidth="1"/>
    <col min="504" max="504" width="121" style="627" customWidth="1"/>
    <col min="505" max="505" width="37.6640625" style="627" customWidth="1"/>
    <col min="506" max="507" width="35.83203125" style="627" customWidth="1"/>
    <col min="508" max="508" width="14.33203125" style="627" customWidth="1"/>
    <col min="509" max="509" width="121" style="627" customWidth="1"/>
    <col min="510" max="510" width="37.1640625" style="627" customWidth="1"/>
    <col min="511" max="512" width="35.83203125" style="627" customWidth="1"/>
    <col min="513" max="514" width="18.1640625" style="627" customWidth="1"/>
    <col min="515" max="515" width="15" style="627" bestFit="1" customWidth="1"/>
    <col min="516" max="516" width="17.5" style="627" customWidth="1"/>
    <col min="517" max="758" width="9.33203125" style="627"/>
    <col min="759" max="759" width="14.33203125" style="627" customWidth="1"/>
    <col min="760" max="760" width="121" style="627" customWidth="1"/>
    <col min="761" max="761" width="37.6640625" style="627" customWidth="1"/>
    <col min="762" max="763" width="35.83203125" style="627" customWidth="1"/>
    <col min="764" max="764" width="14.33203125" style="627" customWidth="1"/>
    <col min="765" max="765" width="121" style="627" customWidth="1"/>
    <col min="766" max="766" width="37.1640625" style="627" customWidth="1"/>
    <col min="767" max="768" width="35.83203125" style="627" customWidth="1"/>
    <col min="769" max="770" width="18.1640625" style="627" customWidth="1"/>
    <col min="771" max="771" width="15" style="627" bestFit="1" customWidth="1"/>
    <col min="772" max="772" width="17.5" style="627" customWidth="1"/>
    <col min="773" max="1014" width="9.33203125" style="627"/>
    <col min="1015" max="1015" width="14.33203125" style="627" customWidth="1"/>
    <col min="1016" max="1016" width="121" style="627" customWidth="1"/>
    <col min="1017" max="1017" width="37.6640625" style="627" customWidth="1"/>
    <col min="1018" max="1019" width="35.83203125" style="627" customWidth="1"/>
    <col min="1020" max="1020" width="14.33203125" style="627" customWidth="1"/>
    <col min="1021" max="1021" width="121" style="627" customWidth="1"/>
    <col min="1022" max="1022" width="37.1640625" style="627" customWidth="1"/>
    <col min="1023" max="1024" width="35.83203125" style="627" customWidth="1"/>
    <col min="1025" max="1026" width="18.1640625" style="627" customWidth="1"/>
    <col min="1027" max="1027" width="15" style="627" bestFit="1" customWidth="1"/>
    <col min="1028" max="1028" width="17.5" style="627" customWidth="1"/>
    <col min="1029" max="1270" width="9.33203125" style="627"/>
    <col min="1271" max="1271" width="14.33203125" style="627" customWidth="1"/>
    <col min="1272" max="1272" width="121" style="627" customWidth="1"/>
    <col min="1273" max="1273" width="37.6640625" style="627" customWidth="1"/>
    <col min="1274" max="1275" width="35.83203125" style="627" customWidth="1"/>
    <col min="1276" max="1276" width="14.33203125" style="627" customWidth="1"/>
    <col min="1277" max="1277" width="121" style="627" customWidth="1"/>
    <col min="1278" max="1278" width="37.1640625" style="627" customWidth="1"/>
    <col min="1279" max="1280" width="35.83203125" style="627" customWidth="1"/>
    <col min="1281" max="1282" width="18.1640625" style="627" customWidth="1"/>
    <col min="1283" max="1283" width="15" style="627" bestFit="1" customWidth="1"/>
    <col min="1284" max="1284" width="17.5" style="627" customWidth="1"/>
    <col min="1285" max="1526" width="9.33203125" style="627"/>
    <col min="1527" max="1527" width="14.33203125" style="627" customWidth="1"/>
    <col min="1528" max="1528" width="121" style="627" customWidth="1"/>
    <col min="1529" max="1529" width="37.6640625" style="627" customWidth="1"/>
    <col min="1530" max="1531" width="35.83203125" style="627" customWidth="1"/>
    <col min="1532" max="1532" width="14.33203125" style="627" customWidth="1"/>
    <col min="1533" max="1533" width="121" style="627" customWidth="1"/>
    <col min="1534" max="1534" width="37.1640625" style="627" customWidth="1"/>
    <col min="1535" max="1536" width="35.83203125" style="627" customWidth="1"/>
    <col min="1537" max="1538" width="18.1640625" style="627" customWidth="1"/>
    <col min="1539" max="1539" width="15" style="627" bestFit="1" customWidth="1"/>
    <col min="1540" max="1540" width="17.5" style="627" customWidth="1"/>
    <col min="1541" max="1782" width="9.33203125" style="627"/>
    <col min="1783" max="1783" width="14.33203125" style="627" customWidth="1"/>
    <col min="1784" max="1784" width="121" style="627" customWidth="1"/>
    <col min="1785" max="1785" width="37.6640625" style="627" customWidth="1"/>
    <col min="1786" max="1787" width="35.83203125" style="627" customWidth="1"/>
    <col min="1788" max="1788" width="14.33203125" style="627" customWidth="1"/>
    <col min="1789" max="1789" width="121" style="627" customWidth="1"/>
    <col min="1790" max="1790" width="37.1640625" style="627" customWidth="1"/>
    <col min="1791" max="1792" width="35.83203125" style="627" customWidth="1"/>
    <col min="1793" max="1794" width="18.1640625" style="627" customWidth="1"/>
    <col min="1795" max="1795" width="15" style="627" bestFit="1" customWidth="1"/>
    <col min="1796" max="1796" width="17.5" style="627" customWidth="1"/>
    <col min="1797" max="2038" width="9.33203125" style="627"/>
    <col min="2039" max="2039" width="14.33203125" style="627" customWidth="1"/>
    <col min="2040" max="2040" width="121" style="627" customWidth="1"/>
    <col min="2041" max="2041" width="37.6640625" style="627" customWidth="1"/>
    <col min="2042" max="2043" width="35.83203125" style="627" customWidth="1"/>
    <col min="2044" max="2044" width="14.33203125" style="627" customWidth="1"/>
    <col min="2045" max="2045" width="121" style="627" customWidth="1"/>
    <col min="2046" max="2046" width="37.1640625" style="627" customWidth="1"/>
    <col min="2047" max="2048" width="35.83203125" style="627" customWidth="1"/>
    <col min="2049" max="2050" width="18.1640625" style="627" customWidth="1"/>
    <col min="2051" max="2051" width="15" style="627" bestFit="1" customWidth="1"/>
    <col min="2052" max="2052" width="17.5" style="627" customWidth="1"/>
    <col min="2053" max="2294" width="9.33203125" style="627"/>
    <col min="2295" max="2295" width="14.33203125" style="627" customWidth="1"/>
    <col min="2296" max="2296" width="121" style="627" customWidth="1"/>
    <col min="2297" max="2297" width="37.6640625" style="627" customWidth="1"/>
    <col min="2298" max="2299" width="35.83203125" style="627" customWidth="1"/>
    <col min="2300" max="2300" width="14.33203125" style="627" customWidth="1"/>
    <col min="2301" max="2301" width="121" style="627" customWidth="1"/>
    <col min="2302" max="2302" width="37.1640625" style="627" customWidth="1"/>
    <col min="2303" max="2304" width="35.83203125" style="627" customWidth="1"/>
    <col min="2305" max="2306" width="18.1640625" style="627" customWidth="1"/>
    <col min="2307" max="2307" width="15" style="627" bestFit="1" customWidth="1"/>
    <col min="2308" max="2308" width="17.5" style="627" customWidth="1"/>
    <col min="2309" max="2550" width="9.33203125" style="627"/>
    <col min="2551" max="2551" width="14.33203125" style="627" customWidth="1"/>
    <col min="2552" max="2552" width="121" style="627" customWidth="1"/>
    <col min="2553" max="2553" width="37.6640625" style="627" customWidth="1"/>
    <col min="2554" max="2555" width="35.83203125" style="627" customWidth="1"/>
    <col min="2556" max="2556" width="14.33203125" style="627" customWidth="1"/>
    <col min="2557" max="2557" width="121" style="627" customWidth="1"/>
    <col min="2558" max="2558" width="37.1640625" style="627" customWidth="1"/>
    <col min="2559" max="2560" width="35.83203125" style="627" customWidth="1"/>
    <col min="2561" max="2562" width="18.1640625" style="627" customWidth="1"/>
    <col min="2563" max="2563" width="15" style="627" bestFit="1" customWidth="1"/>
    <col min="2564" max="2564" width="17.5" style="627" customWidth="1"/>
    <col min="2565" max="2806" width="9.33203125" style="627"/>
    <col min="2807" max="2807" width="14.33203125" style="627" customWidth="1"/>
    <col min="2808" max="2808" width="121" style="627" customWidth="1"/>
    <col min="2809" max="2809" width="37.6640625" style="627" customWidth="1"/>
    <col min="2810" max="2811" width="35.83203125" style="627" customWidth="1"/>
    <col min="2812" max="2812" width="14.33203125" style="627" customWidth="1"/>
    <col min="2813" max="2813" width="121" style="627" customWidth="1"/>
    <col min="2814" max="2814" width="37.1640625" style="627" customWidth="1"/>
    <col min="2815" max="2816" width="35.83203125" style="627" customWidth="1"/>
    <col min="2817" max="2818" width="18.1640625" style="627" customWidth="1"/>
    <col min="2819" max="2819" width="15" style="627" bestFit="1" customWidth="1"/>
    <col min="2820" max="2820" width="17.5" style="627" customWidth="1"/>
    <col min="2821" max="3062" width="9.33203125" style="627"/>
    <col min="3063" max="3063" width="14.33203125" style="627" customWidth="1"/>
    <col min="3064" max="3064" width="121" style="627" customWidth="1"/>
    <col min="3065" max="3065" width="37.6640625" style="627" customWidth="1"/>
    <col min="3066" max="3067" width="35.83203125" style="627" customWidth="1"/>
    <col min="3068" max="3068" width="14.33203125" style="627" customWidth="1"/>
    <col min="3069" max="3069" width="121" style="627" customWidth="1"/>
    <col min="3070" max="3070" width="37.1640625" style="627" customWidth="1"/>
    <col min="3071" max="3072" width="35.83203125" style="627" customWidth="1"/>
    <col min="3073" max="3074" width="18.1640625" style="627" customWidth="1"/>
    <col min="3075" max="3075" width="15" style="627" bestFit="1" customWidth="1"/>
    <col min="3076" max="3076" width="17.5" style="627" customWidth="1"/>
    <col min="3077" max="3318" width="9.33203125" style="627"/>
    <col min="3319" max="3319" width="14.33203125" style="627" customWidth="1"/>
    <col min="3320" max="3320" width="121" style="627" customWidth="1"/>
    <col min="3321" max="3321" width="37.6640625" style="627" customWidth="1"/>
    <col min="3322" max="3323" width="35.83203125" style="627" customWidth="1"/>
    <col min="3324" max="3324" width="14.33203125" style="627" customWidth="1"/>
    <col min="3325" max="3325" width="121" style="627" customWidth="1"/>
    <col min="3326" max="3326" width="37.1640625" style="627" customWidth="1"/>
    <col min="3327" max="3328" width="35.83203125" style="627" customWidth="1"/>
    <col min="3329" max="3330" width="18.1640625" style="627" customWidth="1"/>
    <col min="3331" max="3331" width="15" style="627" bestFit="1" customWidth="1"/>
    <col min="3332" max="3332" width="17.5" style="627" customWidth="1"/>
    <col min="3333" max="3574" width="9.33203125" style="627"/>
    <col min="3575" max="3575" width="14.33203125" style="627" customWidth="1"/>
    <col min="3576" max="3576" width="121" style="627" customWidth="1"/>
    <col min="3577" max="3577" width="37.6640625" style="627" customWidth="1"/>
    <col min="3578" max="3579" width="35.83203125" style="627" customWidth="1"/>
    <col min="3580" max="3580" width="14.33203125" style="627" customWidth="1"/>
    <col min="3581" max="3581" width="121" style="627" customWidth="1"/>
    <col min="3582" max="3582" width="37.1640625" style="627" customWidth="1"/>
    <col min="3583" max="3584" width="35.83203125" style="627" customWidth="1"/>
    <col min="3585" max="3586" width="18.1640625" style="627" customWidth="1"/>
    <col min="3587" max="3587" width="15" style="627" bestFit="1" customWidth="1"/>
    <col min="3588" max="3588" width="17.5" style="627" customWidth="1"/>
    <col min="3589" max="3830" width="9.33203125" style="627"/>
    <col min="3831" max="3831" width="14.33203125" style="627" customWidth="1"/>
    <col min="3832" max="3832" width="121" style="627" customWidth="1"/>
    <col min="3833" max="3833" width="37.6640625" style="627" customWidth="1"/>
    <col min="3834" max="3835" width="35.83203125" style="627" customWidth="1"/>
    <col min="3836" max="3836" width="14.33203125" style="627" customWidth="1"/>
    <col min="3837" max="3837" width="121" style="627" customWidth="1"/>
    <col min="3838" max="3838" width="37.1640625" style="627" customWidth="1"/>
    <col min="3839" max="3840" width="35.83203125" style="627" customWidth="1"/>
    <col min="3841" max="3842" width="18.1640625" style="627" customWidth="1"/>
    <col min="3843" max="3843" width="15" style="627" bestFit="1" customWidth="1"/>
    <col min="3844" max="3844" width="17.5" style="627" customWidth="1"/>
    <col min="3845" max="4086" width="9.33203125" style="627"/>
    <col min="4087" max="4087" width="14.33203125" style="627" customWidth="1"/>
    <col min="4088" max="4088" width="121" style="627" customWidth="1"/>
    <col min="4089" max="4089" width="37.6640625" style="627" customWidth="1"/>
    <col min="4090" max="4091" width="35.83203125" style="627" customWidth="1"/>
    <col min="4092" max="4092" width="14.33203125" style="627" customWidth="1"/>
    <col min="4093" max="4093" width="121" style="627" customWidth="1"/>
    <col min="4094" max="4094" width="37.1640625" style="627" customWidth="1"/>
    <col min="4095" max="4096" width="35.83203125" style="627" customWidth="1"/>
    <col min="4097" max="4098" width="18.1640625" style="627" customWidth="1"/>
    <col min="4099" max="4099" width="15" style="627" bestFit="1" customWidth="1"/>
    <col min="4100" max="4100" width="17.5" style="627" customWidth="1"/>
    <col min="4101" max="4342" width="9.33203125" style="627"/>
    <col min="4343" max="4343" width="14.33203125" style="627" customWidth="1"/>
    <col min="4344" max="4344" width="121" style="627" customWidth="1"/>
    <col min="4345" max="4345" width="37.6640625" style="627" customWidth="1"/>
    <col min="4346" max="4347" width="35.83203125" style="627" customWidth="1"/>
    <col min="4348" max="4348" width="14.33203125" style="627" customWidth="1"/>
    <col min="4349" max="4349" width="121" style="627" customWidth="1"/>
    <col min="4350" max="4350" width="37.1640625" style="627" customWidth="1"/>
    <col min="4351" max="4352" width="35.83203125" style="627" customWidth="1"/>
    <col min="4353" max="4354" width="18.1640625" style="627" customWidth="1"/>
    <col min="4355" max="4355" width="15" style="627" bestFit="1" customWidth="1"/>
    <col min="4356" max="4356" width="17.5" style="627" customWidth="1"/>
    <col min="4357" max="4598" width="9.33203125" style="627"/>
    <col min="4599" max="4599" width="14.33203125" style="627" customWidth="1"/>
    <col min="4600" max="4600" width="121" style="627" customWidth="1"/>
    <col min="4601" max="4601" width="37.6640625" style="627" customWidth="1"/>
    <col min="4602" max="4603" width="35.83203125" style="627" customWidth="1"/>
    <col min="4604" max="4604" width="14.33203125" style="627" customWidth="1"/>
    <col min="4605" max="4605" width="121" style="627" customWidth="1"/>
    <col min="4606" max="4606" width="37.1640625" style="627" customWidth="1"/>
    <col min="4607" max="4608" width="35.83203125" style="627" customWidth="1"/>
    <col min="4609" max="4610" width="18.1640625" style="627" customWidth="1"/>
    <col min="4611" max="4611" width="15" style="627" bestFit="1" customWidth="1"/>
    <col min="4612" max="4612" width="17.5" style="627" customWidth="1"/>
    <col min="4613" max="4854" width="9.33203125" style="627"/>
    <col min="4855" max="4855" width="14.33203125" style="627" customWidth="1"/>
    <col min="4856" max="4856" width="121" style="627" customWidth="1"/>
    <col min="4857" max="4857" width="37.6640625" style="627" customWidth="1"/>
    <col min="4858" max="4859" width="35.83203125" style="627" customWidth="1"/>
    <col min="4860" max="4860" width="14.33203125" style="627" customWidth="1"/>
    <col min="4861" max="4861" width="121" style="627" customWidth="1"/>
    <col min="4862" max="4862" width="37.1640625" style="627" customWidth="1"/>
    <col min="4863" max="4864" width="35.83203125" style="627" customWidth="1"/>
    <col min="4865" max="4866" width="18.1640625" style="627" customWidth="1"/>
    <col min="4867" max="4867" width="15" style="627" bestFit="1" customWidth="1"/>
    <col min="4868" max="4868" width="17.5" style="627" customWidth="1"/>
    <col min="4869" max="5110" width="9.33203125" style="627"/>
    <col min="5111" max="5111" width="14.33203125" style="627" customWidth="1"/>
    <col min="5112" max="5112" width="121" style="627" customWidth="1"/>
    <col min="5113" max="5113" width="37.6640625" style="627" customWidth="1"/>
    <col min="5114" max="5115" width="35.83203125" style="627" customWidth="1"/>
    <col min="5116" max="5116" width="14.33203125" style="627" customWidth="1"/>
    <col min="5117" max="5117" width="121" style="627" customWidth="1"/>
    <col min="5118" max="5118" width="37.1640625" style="627" customWidth="1"/>
    <col min="5119" max="5120" width="35.83203125" style="627" customWidth="1"/>
    <col min="5121" max="5122" width="18.1640625" style="627" customWidth="1"/>
    <col min="5123" max="5123" width="15" style="627" bestFit="1" customWidth="1"/>
    <col min="5124" max="5124" width="17.5" style="627" customWidth="1"/>
    <col min="5125" max="5366" width="9.33203125" style="627"/>
    <col min="5367" max="5367" width="14.33203125" style="627" customWidth="1"/>
    <col min="5368" max="5368" width="121" style="627" customWidth="1"/>
    <col min="5369" max="5369" width="37.6640625" style="627" customWidth="1"/>
    <col min="5370" max="5371" width="35.83203125" style="627" customWidth="1"/>
    <col min="5372" max="5372" width="14.33203125" style="627" customWidth="1"/>
    <col min="5373" max="5373" width="121" style="627" customWidth="1"/>
    <col min="5374" max="5374" width="37.1640625" style="627" customWidth="1"/>
    <col min="5375" max="5376" width="35.83203125" style="627" customWidth="1"/>
    <col min="5377" max="5378" width="18.1640625" style="627" customWidth="1"/>
    <col min="5379" max="5379" width="15" style="627" bestFit="1" customWidth="1"/>
    <col min="5380" max="5380" width="17.5" style="627" customWidth="1"/>
    <col min="5381" max="5622" width="9.33203125" style="627"/>
    <col min="5623" max="5623" width="14.33203125" style="627" customWidth="1"/>
    <col min="5624" max="5624" width="121" style="627" customWidth="1"/>
    <col min="5625" max="5625" width="37.6640625" style="627" customWidth="1"/>
    <col min="5626" max="5627" width="35.83203125" style="627" customWidth="1"/>
    <col min="5628" max="5628" width="14.33203125" style="627" customWidth="1"/>
    <col min="5629" max="5629" width="121" style="627" customWidth="1"/>
    <col min="5630" max="5630" width="37.1640625" style="627" customWidth="1"/>
    <col min="5631" max="5632" width="35.83203125" style="627" customWidth="1"/>
    <col min="5633" max="5634" width="18.1640625" style="627" customWidth="1"/>
    <col min="5635" max="5635" width="15" style="627" bestFit="1" customWidth="1"/>
    <col min="5636" max="5636" width="17.5" style="627" customWidth="1"/>
    <col min="5637" max="5878" width="9.33203125" style="627"/>
    <col min="5879" max="5879" width="14.33203125" style="627" customWidth="1"/>
    <col min="5880" max="5880" width="121" style="627" customWidth="1"/>
    <col min="5881" max="5881" width="37.6640625" style="627" customWidth="1"/>
    <col min="5882" max="5883" width="35.83203125" style="627" customWidth="1"/>
    <col min="5884" max="5884" width="14.33203125" style="627" customWidth="1"/>
    <col min="5885" max="5885" width="121" style="627" customWidth="1"/>
    <col min="5886" max="5886" width="37.1640625" style="627" customWidth="1"/>
    <col min="5887" max="5888" width="35.83203125" style="627" customWidth="1"/>
    <col min="5889" max="5890" width="18.1640625" style="627" customWidth="1"/>
    <col min="5891" max="5891" width="15" style="627" bestFit="1" customWidth="1"/>
    <col min="5892" max="5892" width="17.5" style="627" customWidth="1"/>
    <col min="5893" max="6134" width="9.33203125" style="627"/>
    <col min="6135" max="6135" width="14.33203125" style="627" customWidth="1"/>
    <col min="6136" max="6136" width="121" style="627" customWidth="1"/>
    <col min="6137" max="6137" width="37.6640625" style="627" customWidth="1"/>
    <col min="6138" max="6139" width="35.83203125" style="627" customWidth="1"/>
    <col min="6140" max="6140" width="14.33203125" style="627" customWidth="1"/>
    <col min="6141" max="6141" width="121" style="627" customWidth="1"/>
    <col min="6142" max="6142" width="37.1640625" style="627" customWidth="1"/>
    <col min="6143" max="6144" width="35.83203125" style="627" customWidth="1"/>
    <col min="6145" max="6146" width="18.1640625" style="627" customWidth="1"/>
    <col min="6147" max="6147" width="15" style="627" bestFit="1" customWidth="1"/>
    <col min="6148" max="6148" width="17.5" style="627" customWidth="1"/>
    <col min="6149" max="6390" width="9.33203125" style="627"/>
    <col min="6391" max="6391" width="14.33203125" style="627" customWidth="1"/>
    <col min="6392" max="6392" width="121" style="627" customWidth="1"/>
    <col min="6393" max="6393" width="37.6640625" style="627" customWidth="1"/>
    <col min="6394" max="6395" width="35.83203125" style="627" customWidth="1"/>
    <col min="6396" max="6396" width="14.33203125" style="627" customWidth="1"/>
    <col min="6397" max="6397" width="121" style="627" customWidth="1"/>
    <col min="6398" max="6398" width="37.1640625" style="627" customWidth="1"/>
    <col min="6399" max="6400" width="35.83203125" style="627" customWidth="1"/>
    <col min="6401" max="6402" width="18.1640625" style="627" customWidth="1"/>
    <col min="6403" max="6403" width="15" style="627" bestFit="1" customWidth="1"/>
    <col min="6404" max="6404" width="17.5" style="627" customWidth="1"/>
    <col min="6405" max="6646" width="9.33203125" style="627"/>
    <col min="6647" max="6647" width="14.33203125" style="627" customWidth="1"/>
    <col min="6648" max="6648" width="121" style="627" customWidth="1"/>
    <col min="6649" max="6649" width="37.6640625" style="627" customWidth="1"/>
    <col min="6650" max="6651" width="35.83203125" style="627" customWidth="1"/>
    <col min="6652" max="6652" width="14.33203125" style="627" customWidth="1"/>
    <col min="6653" max="6653" width="121" style="627" customWidth="1"/>
    <col min="6654" max="6654" width="37.1640625" style="627" customWidth="1"/>
    <col min="6655" max="6656" width="35.83203125" style="627" customWidth="1"/>
    <col min="6657" max="6658" width="18.1640625" style="627" customWidth="1"/>
    <col min="6659" max="6659" width="15" style="627" bestFit="1" customWidth="1"/>
    <col min="6660" max="6660" width="17.5" style="627" customWidth="1"/>
    <col min="6661" max="6902" width="9.33203125" style="627"/>
    <col min="6903" max="6903" width="14.33203125" style="627" customWidth="1"/>
    <col min="6904" max="6904" width="121" style="627" customWidth="1"/>
    <col min="6905" max="6905" width="37.6640625" style="627" customWidth="1"/>
    <col min="6906" max="6907" width="35.83203125" style="627" customWidth="1"/>
    <col min="6908" max="6908" width="14.33203125" style="627" customWidth="1"/>
    <col min="6909" max="6909" width="121" style="627" customWidth="1"/>
    <col min="6910" max="6910" width="37.1640625" style="627" customWidth="1"/>
    <col min="6911" max="6912" width="35.83203125" style="627" customWidth="1"/>
    <col min="6913" max="6914" width="18.1640625" style="627" customWidth="1"/>
    <col min="6915" max="6915" width="15" style="627" bestFit="1" customWidth="1"/>
    <col min="6916" max="6916" width="17.5" style="627" customWidth="1"/>
    <col min="6917" max="7158" width="9.33203125" style="627"/>
    <col min="7159" max="7159" width="14.33203125" style="627" customWidth="1"/>
    <col min="7160" max="7160" width="121" style="627" customWidth="1"/>
    <col min="7161" max="7161" width="37.6640625" style="627" customWidth="1"/>
    <col min="7162" max="7163" width="35.83203125" style="627" customWidth="1"/>
    <col min="7164" max="7164" width="14.33203125" style="627" customWidth="1"/>
    <col min="7165" max="7165" width="121" style="627" customWidth="1"/>
    <col min="7166" max="7166" width="37.1640625" style="627" customWidth="1"/>
    <col min="7167" max="7168" width="35.83203125" style="627" customWidth="1"/>
    <col min="7169" max="7170" width="18.1640625" style="627" customWidth="1"/>
    <col min="7171" max="7171" width="15" style="627" bestFit="1" customWidth="1"/>
    <col min="7172" max="7172" width="17.5" style="627" customWidth="1"/>
    <col min="7173" max="7414" width="9.33203125" style="627"/>
    <col min="7415" max="7415" width="14.33203125" style="627" customWidth="1"/>
    <col min="7416" max="7416" width="121" style="627" customWidth="1"/>
    <col min="7417" max="7417" width="37.6640625" style="627" customWidth="1"/>
    <col min="7418" max="7419" width="35.83203125" style="627" customWidth="1"/>
    <col min="7420" max="7420" width="14.33203125" style="627" customWidth="1"/>
    <col min="7421" max="7421" width="121" style="627" customWidth="1"/>
    <col min="7422" max="7422" width="37.1640625" style="627" customWidth="1"/>
    <col min="7423" max="7424" width="35.83203125" style="627" customWidth="1"/>
    <col min="7425" max="7426" width="18.1640625" style="627" customWidth="1"/>
    <col min="7427" max="7427" width="15" style="627" bestFit="1" customWidth="1"/>
    <col min="7428" max="7428" width="17.5" style="627" customWidth="1"/>
    <col min="7429" max="7670" width="9.33203125" style="627"/>
    <col min="7671" max="7671" width="14.33203125" style="627" customWidth="1"/>
    <col min="7672" max="7672" width="121" style="627" customWidth="1"/>
    <col min="7673" max="7673" width="37.6640625" style="627" customWidth="1"/>
    <col min="7674" max="7675" width="35.83203125" style="627" customWidth="1"/>
    <col min="7676" max="7676" width="14.33203125" style="627" customWidth="1"/>
    <col min="7677" max="7677" width="121" style="627" customWidth="1"/>
    <col min="7678" max="7678" width="37.1640625" style="627" customWidth="1"/>
    <col min="7679" max="7680" width="35.83203125" style="627" customWidth="1"/>
    <col min="7681" max="7682" width="18.1640625" style="627" customWidth="1"/>
    <col min="7683" max="7683" width="15" style="627" bestFit="1" customWidth="1"/>
    <col min="7684" max="7684" width="17.5" style="627" customWidth="1"/>
    <col min="7685" max="7926" width="9.33203125" style="627"/>
    <col min="7927" max="7927" width="14.33203125" style="627" customWidth="1"/>
    <col min="7928" max="7928" width="121" style="627" customWidth="1"/>
    <col min="7929" max="7929" width="37.6640625" style="627" customWidth="1"/>
    <col min="7930" max="7931" width="35.83203125" style="627" customWidth="1"/>
    <col min="7932" max="7932" width="14.33203125" style="627" customWidth="1"/>
    <col min="7933" max="7933" width="121" style="627" customWidth="1"/>
    <col min="7934" max="7934" width="37.1640625" style="627" customWidth="1"/>
    <col min="7935" max="7936" width="35.83203125" style="627" customWidth="1"/>
    <col min="7937" max="7938" width="18.1640625" style="627" customWidth="1"/>
    <col min="7939" max="7939" width="15" style="627" bestFit="1" customWidth="1"/>
    <col min="7940" max="7940" width="17.5" style="627" customWidth="1"/>
    <col min="7941" max="8182" width="9.33203125" style="627"/>
    <col min="8183" max="8183" width="14.33203125" style="627" customWidth="1"/>
    <col min="8184" max="8184" width="121" style="627" customWidth="1"/>
    <col min="8185" max="8185" width="37.6640625" style="627" customWidth="1"/>
    <col min="8186" max="8187" width="35.83203125" style="627" customWidth="1"/>
    <col min="8188" max="8188" width="14.33203125" style="627" customWidth="1"/>
    <col min="8189" max="8189" width="121" style="627" customWidth="1"/>
    <col min="8190" max="8190" width="37.1640625" style="627" customWidth="1"/>
    <col min="8191" max="8192" width="35.83203125" style="627" customWidth="1"/>
    <col min="8193" max="8194" width="18.1640625" style="627" customWidth="1"/>
    <col min="8195" max="8195" width="15" style="627" bestFit="1" customWidth="1"/>
    <col min="8196" max="8196" width="17.5" style="627" customWidth="1"/>
    <col min="8197" max="8438" width="9.33203125" style="627"/>
    <col min="8439" max="8439" width="14.33203125" style="627" customWidth="1"/>
    <col min="8440" max="8440" width="121" style="627" customWidth="1"/>
    <col min="8441" max="8441" width="37.6640625" style="627" customWidth="1"/>
    <col min="8442" max="8443" width="35.83203125" style="627" customWidth="1"/>
    <col min="8444" max="8444" width="14.33203125" style="627" customWidth="1"/>
    <col min="8445" max="8445" width="121" style="627" customWidth="1"/>
    <col min="8446" max="8446" width="37.1640625" style="627" customWidth="1"/>
    <col min="8447" max="8448" width="35.83203125" style="627" customWidth="1"/>
    <col min="8449" max="8450" width="18.1640625" style="627" customWidth="1"/>
    <col min="8451" max="8451" width="15" style="627" bestFit="1" customWidth="1"/>
    <col min="8452" max="8452" width="17.5" style="627" customWidth="1"/>
    <col min="8453" max="8694" width="9.33203125" style="627"/>
    <col min="8695" max="8695" width="14.33203125" style="627" customWidth="1"/>
    <col min="8696" max="8696" width="121" style="627" customWidth="1"/>
    <col min="8697" max="8697" width="37.6640625" style="627" customWidth="1"/>
    <col min="8698" max="8699" width="35.83203125" style="627" customWidth="1"/>
    <col min="8700" max="8700" width="14.33203125" style="627" customWidth="1"/>
    <col min="8701" max="8701" width="121" style="627" customWidth="1"/>
    <col min="8702" max="8702" width="37.1640625" style="627" customWidth="1"/>
    <col min="8703" max="8704" width="35.83203125" style="627" customWidth="1"/>
    <col min="8705" max="8706" width="18.1640625" style="627" customWidth="1"/>
    <col min="8707" max="8707" width="15" style="627" bestFit="1" customWidth="1"/>
    <col min="8708" max="8708" width="17.5" style="627" customWidth="1"/>
    <col min="8709" max="8950" width="9.33203125" style="627"/>
    <col min="8951" max="8951" width="14.33203125" style="627" customWidth="1"/>
    <col min="8952" max="8952" width="121" style="627" customWidth="1"/>
    <col min="8953" max="8953" width="37.6640625" style="627" customWidth="1"/>
    <col min="8954" max="8955" width="35.83203125" style="627" customWidth="1"/>
    <col min="8956" max="8956" width="14.33203125" style="627" customWidth="1"/>
    <col min="8957" max="8957" width="121" style="627" customWidth="1"/>
    <col min="8958" max="8958" width="37.1640625" style="627" customWidth="1"/>
    <col min="8959" max="8960" width="35.83203125" style="627" customWidth="1"/>
    <col min="8961" max="8962" width="18.1640625" style="627" customWidth="1"/>
    <col min="8963" max="8963" width="15" style="627" bestFit="1" customWidth="1"/>
    <col min="8964" max="8964" width="17.5" style="627" customWidth="1"/>
    <col min="8965" max="9206" width="9.33203125" style="627"/>
    <col min="9207" max="9207" width="14.33203125" style="627" customWidth="1"/>
    <col min="9208" max="9208" width="121" style="627" customWidth="1"/>
    <col min="9209" max="9209" width="37.6640625" style="627" customWidth="1"/>
    <col min="9210" max="9211" width="35.83203125" style="627" customWidth="1"/>
    <col min="9212" max="9212" width="14.33203125" style="627" customWidth="1"/>
    <col min="9213" max="9213" width="121" style="627" customWidth="1"/>
    <col min="9214" max="9214" width="37.1640625" style="627" customWidth="1"/>
    <col min="9215" max="9216" width="35.83203125" style="627" customWidth="1"/>
    <col min="9217" max="9218" width="18.1640625" style="627" customWidth="1"/>
    <col min="9219" max="9219" width="15" style="627" bestFit="1" customWidth="1"/>
    <col min="9220" max="9220" width="17.5" style="627" customWidth="1"/>
    <col min="9221" max="9462" width="9.33203125" style="627"/>
    <col min="9463" max="9463" width="14.33203125" style="627" customWidth="1"/>
    <col min="9464" max="9464" width="121" style="627" customWidth="1"/>
    <col min="9465" max="9465" width="37.6640625" style="627" customWidth="1"/>
    <col min="9466" max="9467" width="35.83203125" style="627" customWidth="1"/>
    <col min="9468" max="9468" width="14.33203125" style="627" customWidth="1"/>
    <col min="9469" max="9469" width="121" style="627" customWidth="1"/>
    <col min="9470" max="9470" width="37.1640625" style="627" customWidth="1"/>
    <col min="9471" max="9472" width="35.83203125" style="627" customWidth="1"/>
    <col min="9473" max="9474" width="18.1640625" style="627" customWidth="1"/>
    <col min="9475" max="9475" width="15" style="627" bestFit="1" customWidth="1"/>
    <col min="9476" max="9476" width="17.5" style="627" customWidth="1"/>
    <col min="9477" max="9718" width="9.33203125" style="627"/>
    <col min="9719" max="9719" width="14.33203125" style="627" customWidth="1"/>
    <col min="9720" max="9720" width="121" style="627" customWidth="1"/>
    <col min="9721" max="9721" width="37.6640625" style="627" customWidth="1"/>
    <col min="9722" max="9723" width="35.83203125" style="627" customWidth="1"/>
    <col min="9724" max="9724" width="14.33203125" style="627" customWidth="1"/>
    <col min="9725" max="9725" width="121" style="627" customWidth="1"/>
    <col min="9726" max="9726" width="37.1640625" style="627" customWidth="1"/>
    <col min="9727" max="9728" width="35.83203125" style="627" customWidth="1"/>
    <col min="9729" max="9730" width="18.1640625" style="627" customWidth="1"/>
    <col min="9731" max="9731" width="15" style="627" bestFit="1" customWidth="1"/>
    <col min="9732" max="9732" width="17.5" style="627" customWidth="1"/>
    <col min="9733" max="9974" width="9.33203125" style="627"/>
    <col min="9975" max="9975" width="14.33203125" style="627" customWidth="1"/>
    <col min="9976" max="9976" width="121" style="627" customWidth="1"/>
    <col min="9977" max="9977" width="37.6640625" style="627" customWidth="1"/>
    <col min="9978" max="9979" width="35.83203125" style="627" customWidth="1"/>
    <col min="9980" max="9980" width="14.33203125" style="627" customWidth="1"/>
    <col min="9981" max="9981" width="121" style="627" customWidth="1"/>
    <col min="9982" max="9982" width="37.1640625" style="627" customWidth="1"/>
    <col min="9983" max="9984" width="35.83203125" style="627" customWidth="1"/>
    <col min="9985" max="9986" width="18.1640625" style="627" customWidth="1"/>
    <col min="9987" max="9987" width="15" style="627" bestFit="1" customWidth="1"/>
    <col min="9988" max="9988" width="17.5" style="627" customWidth="1"/>
    <col min="9989" max="10230" width="9.33203125" style="627"/>
    <col min="10231" max="10231" width="14.33203125" style="627" customWidth="1"/>
    <col min="10232" max="10232" width="121" style="627" customWidth="1"/>
    <col min="10233" max="10233" width="37.6640625" style="627" customWidth="1"/>
    <col min="10234" max="10235" width="35.83203125" style="627" customWidth="1"/>
    <col min="10236" max="10236" width="14.33203125" style="627" customWidth="1"/>
    <col min="10237" max="10237" width="121" style="627" customWidth="1"/>
    <col min="10238" max="10238" width="37.1640625" style="627" customWidth="1"/>
    <col min="10239" max="10240" width="35.83203125" style="627" customWidth="1"/>
    <col min="10241" max="10242" width="18.1640625" style="627" customWidth="1"/>
    <col min="10243" max="10243" width="15" style="627" bestFit="1" customWidth="1"/>
    <col min="10244" max="10244" width="17.5" style="627" customWidth="1"/>
    <col min="10245" max="10486" width="9.33203125" style="627"/>
    <col min="10487" max="10487" width="14.33203125" style="627" customWidth="1"/>
    <col min="10488" max="10488" width="121" style="627" customWidth="1"/>
    <col min="10489" max="10489" width="37.6640625" style="627" customWidth="1"/>
    <col min="10490" max="10491" width="35.83203125" style="627" customWidth="1"/>
    <col min="10492" max="10492" width="14.33203125" style="627" customWidth="1"/>
    <col min="10493" max="10493" width="121" style="627" customWidth="1"/>
    <col min="10494" max="10494" width="37.1640625" style="627" customWidth="1"/>
    <col min="10495" max="10496" width="35.83203125" style="627" customWidth="1"/>
    <col min="10497" max="10498" width="18.1640625" style="627" customWidth="1"/>
    <col min="10499" max="10499" width="15" style="627" bestFit="1" customWidth="1"/>
    <col min="10500" max="10500" width="17.5" style="627" customWidth="1"/>
    <col min="10501" max="10742" width="9.33203125" style="627"/>
    <col min="10743" max="10743" width="14.33203125" style="627" customWidth="1"/>
    <col min="10744" max="10744" width="121" style="627" customWidth="1"/>
    <col min="10745" max="10745" width="37.6640625" style="627" customWidth="1"/>
    <col min="10746" max="10747" width="35.83203125" style="627" customWidth="1"/>
    <col min="10748" max="10748" width="14.33203125" style="627" customWidth="1"/>
    <col min="10749" max="10749" width="121" style="627" customWidth="1"/>
    <col min="10750" max="10750" width="37.1640625" style="627" customWidth="1"/>
    <col min="10751" max="10752" width="35.83203125" style="627" customWidth="1"/>
    <col min="10753" max="10754" width="18.1640625" style="627" customWidth="1"/>
    <col min="10755" max="10755" width="15" style="627" bestFit="1" customWidth="1"/>
    <col min="10756" max="10756" width="17.5" style="627" customWidth="1"/>
    <col min="10757" max="10998" width="9.33203125" style="627"/>
    <col min="10999" max="10999" width="14.33203125" style="627" customWidth="1"/>
    <col min="11000" max="11000" width="121" style="627" customWidth="1"/>
    <col min="11001" max="11001" width="37.6640625" style="627" customWidth="1"/>
    <col min="11002" max="11003" width="35.83203125" style="627" customWidth="1"/>
    <col min="11004" max="11004" width="14.33203125" style="627" customWidth="1"/>
    <col min="11005" max="11005" width="121" style="627" customWidth="1"/>
    <col min="11006" max="11006" width="37.1640625" style="627" customWidth="1"/>
    <col min="11007" max="11008" width="35.83203125" style="627" customWidth="1"/>
    <col min="11009" max="11010" width="18.1640625" style="627" customWidth="1"/>
    <col min="11011" max="11011" width="15" style="627" bestFit="1" customWidth="1"/>
    <col min="11012" max="11012" width="17.5" style="627" customWidth="1"/>
    <col min="11013" max="11254" width="9.33203125" style="627"/>
    <col min="11255" max="11255" width="14.33203125" style="627" customWidth="1"/>
    <col min="11256" max="11256" width="121" style="627" customWidth="1"/>
    <col min="11257" max="11257" width="37.6640625" style="627" customWidth="1"/>
    <col min="11258" max="11259" width="35.83203125" style="627" customWidth="1"/>
    <col min="11260" max="11260" width="14.33203125" style="627" customWidth="1"/>
    <col min="11261" max="11261" width="121" style="627" customWidth="1"/>
    <col min="11262" max="11262" width="37.1640625" style="627" customWidth="1"/>
    <col min="11263" max="11264" width="35.83203125" style="627" customWidth="1"/>
    <col min="11265" max="11266" width="18.1640625" style="627" customWidth="1"/>
    <col min="11267" max="11267" width="15" style="627" bestFit="1" customWidth="1"/>
    <col min="11268" max="11268" width="17.5" style="627" customWidth="1"/>
    <col min="11269" max="11510" width="9.33203125" style="627"/>
    <col min="11511" max="11511" width="14.33203125" style="627" customWidth="1"/>
    <col min="11512" max="11512" width="121" style="627" customWidth="1"/>
    <col min="11513" max="11513" width="37.6640625" style="627" customWidth="1"/>
    <col min="11514" max="11515" width="35.83203125" style="627" customWidth="1"/>
    <col min="11516" max="11516" width="14.33203125" style="627" customWidth="1"/>
    <col min="11517" max="11517" width="121" style="627" customWidth="1"/>
    <col min="11518" max="11518" width="37.1640625" style="627" customWidth="1"/>
    <col min="11519" max="11520" width="35.83203125" style="627" customWidth="1"/>
    <col min="11521" max="11522" width="18.1640625" style="627" customWidth="1"/>
    <col min="11523" max="11523" width="15" style="627" bestFit="1" customWidth="1"/>
    <col min="11524" max="11524" width="17.5" style="627" customWidth="1"/>
    <col min="11525" max="11766" width="9.33203125" style="627"/>
    <col min="11767" max="11767" width="14.33203125" style="627" customWidth="1"/>
    <col min="11768" max="11768" width="121" style="627" customWidth="1"/>
    <col min="11769" max="11769" width="37.6640625" style="627" customWidth="1"/>
    <col min="11770" max="11771" width="35.83203125" style="627" customWidth="1"/>
    <col min="11772" max="11772" width="14.33203125" style="627" customWidth="1"/>
    <col min="11773" max="11773" width="121" style="627" customWidth="1"/>
    <col min="11774" max="11774" width="37.1640625" style="627" customWidth="1"/>
    <col min="11775" max="11776" width="35.83203125" style="627" customWidth="1"/>
    <col min="11777" max="11778" width="18.1640625" style="627" customWidth="1"/>
    <col min="11779" max="11779" width="15" style="627" bestFit="1" customWidth="1"/>
    <col min="11780" max="11780" width="17.5" style="627" customWidth="1"/>
    <col min="11781" max="12022" width="9.33203125" style="627"/>
    <col min="12023" max="12023" width="14.33203125" style="627" customWidth="1"/>
    <col min="12024" max="12024" width="121" style="627" customWidth="1"/>
    <col min="12025" max="12025" width="37.6640625" style="627" customWidth="1"/>
    <col min="12026" max="12027" width="35.83203125" style="627" customWidth="1"/>
    <col min="12028" max="12028" width="14.33203125" style="627" customWidth="1"/>
    <col min="12029" max="12029" width="121" style="627" customWidth="1"/>
    <col min="12030" max="12030" width="37.1640625" style="627" customWidth="1"/>
    <col min="12031" max="12032" width="35.83203125" style="627" customWidth="1"/>
    <col min="12033" max="12034" width="18.1640625" style="627" customWidth="1"/>
    <col min="12035" max="12035" width="15" style="627" bestFit="1" customWidth="1"/>
    <col min="12036" max="12036" width="17.5" style="627" customWidth="1"/>
    <col min="12037" max="12278" width="9.33203125" style="627"/>
    <col min="12279" max="12279" width="14.33203125" style="627" customWidth="1"/>
    <col min="12280" max="12280" width="121" style="627" customWidth="1"/>
    <col min="12281" max="12281" width="37.6640625" style="627" customWidth="1"/>
    <col min="12282" max="12283" width="35.83203125" style="627" customWidth="1"/>
    <col min="12284" max="12284" width="14.33203125" style="627" customWidth="1"/>
    <col min="12285" max="12285" width="121" style="627" customWidth="1"/>
    <col min="12286" max="12286" width="37.1640625" style="627" customWidth="1"/>
    <col min="12287" max="12288" width="35.83203125" style="627" customWidth="1"/>
    <col min="12289" max="12290" width="18.1640625" style="627" customWidth="1"/>
    <col min="12291" max="12291" width="15" style="627" bestFit="1" customWidth="1"/>
    <col min="12292" max="12292" width="17.5" style="627" customWidth="1"/>
    <col min="12293" max="12534" width="9.33203125" style="627"/>
    <col min="12535" max="12535" width="14.33203125" style="627" customWidth="1"/>
    <col min="12536" max="12536" width="121" style="627" customWidth="1"/>
    <col min="12537" max="12537" width="37.6640625" style="627" customWidth="1"/>
    <col min="12538" max="12539" width="35.83203125" style="627" customWidth="1"/>
    <col min="12540" max="12540" width="14.33203125" style="627" customWidth="1"/>
    <col min="12541" max="12541" width="121" style="627" customWidth="1"/>
    <col min="12542" max="12542" width="37.1640625" style="627" customWidth="1"/>
    <col min="12543" max="12544" width="35.83203125" style="627" customWidth="1"/>
    <col min="12545" max="12546" width="18.1640625" style="627" customWidth="1"/>
    <col min="12547" max="12547" width="15" style="627" bestFit="1" customWidth="1"/>
    <col min="12548" max="12548" width="17.5" style="627" customWidth="1"/>
    <col min="12549" max="12790" width="9.33203125" style="627"/>
    <col min="12791" max="12791" width="14.33203125" style="627" customWidth="1"/>
    <col min="12792" max="12792" width="121" style="627" customWidth="1"/>
    <col min="12793" max="12793" width="37.6640625" style="627" customWidth="1"/>
    <col min="12794" max="12795" width="35.83203125" style="627" customWidth="1"/>
    <col min="12796" max="12796" width="14.33203125" style="627" customWidth="1"/>
    <col min="12797" max="12797" width="121" style="627" customWidth="1"/>
    <col min="12798" max="12798" width="37.1640625" style="627" customWidth="1"/>
    <col min="12799" max="12800" width="35.83203125" style="627" customWidth="1"/>
    <col min="12801" max="12802" width="18.1640625" style="627" customWidth="1"/>
    <col min="12803" max="12803" width="15" style="627" bestFit="1" customWidth="1"/>
    <col min="12804" max="12804" width="17.5" style="627" customWidth="1"/>
    <col min="12805" max="13046" width="9.33203125" style="627"/>
    <col min="13047" max="13047" width="14.33203125" style="627" customWidth="1"/>
    <col min="13048" max="13048" width="121" style="627" customWidth="1"/>
    <col min="13049" max="13049" width="37.6640625" style="627" customWidth="1"/>
    <col min="13050" max="13051" width="35.83203125" style="627" customWidth="1"/>
    <col min="13052" max="13052" width="14.33203125" style="627" customWidth="1"/>
    <col min="13053" max="13053" width="121" style="627" customWidth="1"/>
    <col min="13054" max="13054" width="37.1640625" style="627" customWidth="1"/>
    <col min="13055" max="13056" width="35.83203125" style="627" customWidth="1"/>
    <col min="13057" max="13058" width="18.1640625" style="627" customWidth="1"/>
    <col min="13059" max="13059" width="15" style="627" bestFit="1" customWidth="1"/>
    <col min="13060" max="13060" width="17.5" style="627" customWidth="1"/>
    <col min="13061" max="13302" width="9.33203125" style="627"/>
    <col min="13303" max="13303" width="14.33203125" style="627" customWidth="1"/>
    <col min="13304" max="13304" width="121" style="627" customWidth="1"/>
    <col min="13305" max="13305" width="37.6640625" style="627" customWidth="1"/>
    <col min="13306" max="13307" width="35.83203125" style="627" customWidth="1"/>
    <col min="13308" max="13308" width="14.33203125" style="627" customWidth="1"/>
    <col min="13309" max="13309" width="121" style="627" customWidth="1"/>
    <col min="13310" max="13310" width="37.1640625" style="627" customWidth="1"/>
    <col min="13311" max="13312" width="35.83203125" style="627" customWidth="1"/>
    <col min="13313" max="13314" width="18.1640625" style="627" customWidth="1"/>
    <col min="13315" max="13315" width="15" style="627" bestFit="1" customWidth="1"/>
    <col min="13316" max="13316" width="17.5" style="627" customWidth="1"/>
    <col min="13317" max="13558" width="9.33203125" style="627"/>
    <col min="13559" max="13559" width="14.33203125" style="627" customWidth="1"/>
    <col min="13560" max="13560" width="121" style="627" customWidth="1"/>
    <col min="13561" max="13561" width="37.6640625" style="627" customWidth="1"/>
    <col min="13562" max="13563" width="35.83203125" style="627" customWidth="1"/>
    <col min="13564" max="13564" width="14.33203125" style="627" customWidth="1"/>
    <col min="13565" max="13565" width="121" style="627" customWidth="1"/>
    <col min="13566" max="13566" width="37.1640625" style="627" customWidth="1"/>
    <col min="13567" max="13568" width="35.83203125" style="627" customWidth="1"/>
    <col min="13569" max="13570" width="18.1640625" style="627" customWidth="1"/>
    <col min="13571" max="13571" width="15" style="627" bestFit="1" customWidth="1"/>
    <col min="13572" max="13572" width="17.5" style="627" customWidth="1"/>
    <col min="13573" max="13814" width="9.33203125" style="627"/>
    <col min="13815" max="13815" width="14.33203125" style="627" customWidth="1"/>
    <col min="13816" max="13816" width="121" style="627" customWidth="1"/>
    <col min="13817" max="13817" width="37.6640625" style="627" customWidth="1"/>
    <col min="13818" max="13819" width="35.83203125" style="627" customWidth="1"/>
    <col min="13820" max="13820" width="14.33203125" style="627" customWidth="1"/>
    <col min="13821" max="13821" width="121" style="627" customWidth="1"/>
    <col min="13822" max="13822" width="37.1640625" style="627" customWidth="1"/>
    <col min="13823" max="13824" width="35.83203125" style="627" customWidth="1"/>
    <col min="13825" max="13826" width="18.1640625" style="627" customWidth="1"/>
    <col min="13827" max="13827" width="15" style="627" bestFit="1" customWidth="1"/>
    <col min="13828" max="13828" width="17.5" style="627" customWidth="1"/>
    <col min="13829" max="14070" width="9.33203125" style="627"/>
    <col min="14071" max="14071" width="14.33203125" style="627" customWidth="1"/>
    <col min="14072" max="14072" width="121" style="627" customWidth="1"/>
    <col min="14073" max="14073" width="37.6640625" style="627" customWidth="1"/>
    <col min="14074" max="14075" width="35.83203125" style="627" customWidth="1"/>
    <col min="14076" max="14076" width="14.33203125" style="627" customWidth="1"/>
    <col min="14077" max="14077" width="121" style="627" customWidth="1"/>
    <col min="14078" max="14078" width="37.1640625" style="627" customWidth="1"/>
    <col min="14079" max="14080" width="35.83203125" style="627" customWidth="1"/>
    <col min="14081" max="14082" width="18.1640625" style="627" customWidth="1"/>
    <col min="14083" max="14083" width="15" style="627" bestFit="1" customWidth="1"/>
    <col min="14084" max="14084" width="17.5" style="627" customWidth="1"/>
    <col min="14085" max="14326" width="9.33203125" style="627"/>
    <col min="14327" max="14327" width="14.33203125" style="627" customWidth="1"/>
    <col min="14328" max="14328" width="121" style="627" customWidth="1"/>
    <col min="14329" max="14329" width="37.6640625" style="627" customWidth="1"/>
    <col min="14330" max="14331" width="35.83203125" style="627" customWidth="1"/>
    <col min="14332" max="14332" width="14.33203125" style="627" customWidth="1"/>
    <col min="14333" max="14333" width="121" style="627" customWidth="1"/>
    <col min="14334" max="14334" width="37.1640625" style="627" customWidth="1"/>
    <col min="14335" max="14336" width="35.83203125" style="627" customWidth="1"/>
    <col min="14337" max="14338" width="18.1640625" style="627" customWidth="1"/>
    <col min="14339" max="14339" width="15" style="627" bestFit="1" customWidth="1"/>
    <col min="14340" max="14340" width="17.5" style="627" customWidth="1"/>
    <col min="14341" max="14582" width="9.33203125" style="627"/>
    <col min="14583" max="14583" width="14.33203125" style="627" customWidth="1"/>
    <col min="14584" max="14584" width="121" style="627" customWidth="1"/>
    <col min="14585" max="14585" width="37.6640625" style="627" customWidth="1"/>
    <col min="14586" max="14587" width="35.83203125" style="627" customWidth="1"/>
    <col min="14588" max="14588" width="14.33203125" style="627" customWidth="1"/>
    <col min="14589" max="14589" width="121" style="627" customWidth="1"/>
    <col min="14590" max="14590" width="37.1640625" style="627" customWidth="1"/>
    <col min="14591" max="14592" width="35.83203125" style="627" customWidth="1"/>
    <col min="14593" max="14594" width="18.1640625" style="627" customWidth="1"/>
    <col min="14595" max="14595" width="15" style="627" bestFit="1" customWidth="1"/>
    <col min="14596" max="14596" width="17.5" style="627" customWidth="1"/>
    <col min="14597" max="14838" width="9.33203125" style="627"/>
    <col min="14839" max="14839" width="14.33203125" style="627" customWidth="1"/>
    <col min="14840" max="14840" width="121" style="627" customWidth="1"/>
    <col min="14841" max="14841" width="37.6640625" style="627" customWidth="1"/>
    <col min="14842" max="14843" width="35.83203125" style="627" customWidth="1"/>
    <col min="14844" max="14844" width="14.33203125" style="627" customWidth="1"/>
    <col min="14845" max="14845" width="121" style="627" customWidth="1"/>
    <col min="14846" max="14846" width="37.1640625" style="627" customWidth="1"/>
    <col min="14847" max="14848" width="35.83203125" style="627" customWidth="1"/>
    <col min="14849" max="14850" width="18.1640625" style="627" customWidth="1"/>
    <col min="14851" max="14851" width="15" style="627" bestFit="1" customWidth="1"/>
    <col min="14852" max="14852" width="17.5" style="627" customWidth="1"/>
    <col min="14853" max="15094" width="9.33203125" style="627"/>
    <col min="15095" max="15095" width="14.33203125" style="627" customWidth="1"/>
    <col min="15096" max="15096" width="121" style="627" customWidth="1"/>
    <col min="15097" max="15097" width="37.6640625" style="627" customWidth="1"/>
    <col min="15098" max="15099" width="35.83203125" style="627" customWidth="1"/>
    <col min="15100" max="15100" width="14.33203125" style="627" customWidth="1"/>
    <col min="15101" max="15101" width="121" style="627" customWidth="1"/>
    <col min="15102" max="15102" width="37.1640625" style="627" customWidth="1"/>
    <col min="15103" max="15104" width="35.83203125" style="627" customWidth="1"/>
    <col min="15105" max="15106" width="18.1640625" style="627" customWidth="1"/>
    <col min="15107" max="15107" width="15" style="627" bestFit="1" customWidth="1"/>
    <col min="15108" max="15108" width="17.5" style="627" customWidth="1"/>
    <col min="15109" max="15350" width="9.33203125" style="627"/>
    <col min="15351" max="15351" width="14.33203125" style="627" customWidth="1"/>
    <col min="15352" max="15352" width="121" style="627" customWidth="1"/>
    <col min="15353" max="15353" width="37.6640625" style="627" customWidth="1"/>
    <col min="15354" max="15355" width="35.83203125" style="627" customWidth="1"/>
    <col min="15356" max="15356" width="14.33203125" style="627" customWidth="1"/>
    <col min="15357" max="15357" width="121" style="627" customWidth="1"/>
    <col min="15358" max="15358" width="37.1640625" style="627" customWidth="1"/>
    <col min="15359" max="15360" width="35.83203125" style="627" customWidth="1"/>
    <col min="15361" max="15362" width="18.1640625" style="627" customWidth="1"/>
    <col min="15363" max="15363" width="15" style="627" bestFit="1" customWidth="1"/>
    <col min="15364" max="15364" width="17.5" style="627" customWidth="1"/>
    <col min="15365" max="15606" width="9.33203125" style="627"/>
    <col min="15607" max="15607" width="14.33203125" style="627" customWidth="1"/>
    <col min="15608" max="15608" width="121" style="627" customWidth="1"/>
    <col min="15609" max="15609" width="37.6640625" style="627" customWidth="1"/>
    <col min="15610" max="15611" width="35.83203125" style="627" customWidth="1"/>
    <col min="15612" max="15612" width="14.33203125" style="627" customWidth="1"/>
    <col min="15613" max="15613" width="121" style="627" customWidth="1"/>
    <col min="15614" max="15614" width="37.1640625" style="627" customWidth="1"/>
    <col min="15615" max="15616" width="35.83203125" style="627" customWidth="1"/>
    <col min="15617" max="15618" width="18.1640625" style="627" customWidth="1"/>
    <col min="15619" max="15619" width="15" style="627" bestFit="1" customWidth="1"/>
    <col min="15620" max="15620" width="17.5" style="627" customWidth="1"/>
    <col min="15621" max="15862" width="9.33203125" style="627"/>
    <col min="15863" max="15863" width="14.33203125" style="627" customWidth="1"/>
    <col min="15864" max="15864" width="121" style="627" customWidth="1"/>
    <col min="15865" max="15865" width="37.6640625" style="627" customWidth="1"/>
    <col min="15866" max="15867" width="35.83203125" style="627" customWidth="1"/>
    <col min="15868" max="15868" width="14.33203125" style="627" customWidth="1"/>
    <col min="15869" max="15869" width="121" style="627" customWidth="1"/>
    <col min="15870" max="15870" width="37.1640625" style="627" customWidth="1"/>
    <col min="15871" max="15872" width="35.83203125" style="627" customWidth="1"/>
    <col min="15873" max="15874" width="18.1640625" style="627" customWidth="1"/>
    <col min="15875" max="15875" width="15" style="627" bestFit="1" customWidth="1"/>
    <col min="15876" max="15876" width="17.5" style="627" customWidth="1"/>
    <col min="15877" max="16118" width="9.33203125" style="627"/>
    <col min="16119" max="16119" width="14.33203125" style="627" customWidth="1"/>
    <col min="16120" max="16120" width="121" style="627" customWidth="1"/>
    <col min="16121" max="16121" width="37.6640625" style="627" customWidth="1"/>
    <col min="16122" max="16123" width="35.83203125" style="627" customWidth="1"/>
    <col min="16124" max="16124" width="14.33203125" style="627" customWidth="1"/>
    <col min="16125" max="16125" width="121" style="627" customWidth="1"/>
    <col min="16126" max="16126" width="37.1640625" style="627" customWidth="1"/>
    <col min="16127" max="16128" width="35.83203125" style="627" customWidth="1"/>
    <col min="16129" max="16130" width="18.1640625" style="627" customWidth="1"/>
    <col min="16131" max="16131" width="15" style="627" bestFit="1" customWidth="1"/>
    <col min="16132" max="16132" width="17.5" style="627" customWidth="1"/>
    <col min="16133" max="16384" width="9.33203125" style="627"/>
  </cols>
  <sheetData>
    <row r="1" spans="1:11" s="625" customFormat="1" ht="29.25" customHeight="1" x14ac:dyDescent="0.3">
      <c r="B1" s="1973" t="s">
        <v>666</v>
      </c>
      <c r="C1" s="1973"/>
      <c r="D1" s="1973"/>
      <c r="E1" s="1973"/>
      <c r="F1" s="700"/>
      <c r="G1" s="1973" t="s">
        <v>666</v>
      </c>
      <c r="H1" s="1973"/>
      <c r="I1" s="1973"/>
      <c r="J1" s="1973"/>
    </row>
    <row r="2" spans="1:11" s="625" customFormat="1" ht="36" customHeight="1" x14ac:dyDescent="0.3">
      <c r="B2" s="1973" t="s">
        <v>1169</v>
      </c>
      <c r="C2" s="1973"/>
      <c r="D2" s="1973"/>
      <c r="E2" s="1973"/>
      <c r="F2" s="700"/>
      <c r="G2" s="1973" t="s">
        <v>1170</v>
      </c>
      <c r="H2" s="1973"/>
      <c r="I2" s="1973"/>
      <c r="J2" s="1973"/>
    </row>
    <row r="3" spans="1:11" ht="19.5" thickBot="1" x14ac:dyDescent="0.35">
      <c r="A3" s="626"/>
      <c r="B3" s="666"/>
      <c r="C3" s="666"/>
      <c r="D3" s="666"/>
      <c r="E3" s="701"/>
      <c r="F3" s="701"/>
      <c r="G3" s="666"/>
      <c r="H3" s="666"/>
      <c r="I3" s="666"/>
      <c r="J3" s="702" t="s">
        <v>17</v>
      </c>
    </row>
    <row r="4" spans="1:11" s="630" customFormat="1" ht="33.75" customHeight="1" x14ac:dyDescent="0.3">
      <c r="A4" s="629"/>
      <c r="B4" s="659" t="s">
        <v>686</v>
      </c>
      <c r="C4" s="660" t="s">
        <v>1120</v>
      </c>
      <c r="D4" s="661" t="s">
        <v>1121</v>
      </c>
      <c r="E4" s="661" t="s">
        <v>701</v>
      </c>
      <c r="F4" s="660"/>
      <c r="G4" s="662" t="s">
        <v>690</v>
      </c>
      <c r="H4" s="660" t="s">
        <v>1120</v>
      </c>
      <c r="I4" s="662" t="s">
        <v>1121</v>
      </c>
      <c r="J4" s="660" t="s">
        <v>701</v>
      </c>
    </row>
    <row r="5" spans="1:11" s="630" customFormat="1" ht="25.5" customHeight="1" x14ac:dyDescent="0.3">
      <c r="A5" s="631"/>
      <c r="B5" s="663"/>
      <c r="C5" s="664" t="s">
        <v>1122</v>
      </c>
      <c r="D5" s="665" t="s">
        <v>1123</v>
      </c>
      <c r="E5" s="665" t="s">
        <v>1124</v>
      </c>
      <c r="F5" s="664"/>
      <c r="G5" s="666"/>
      <c r="H5" s="664" t="s">
        <v>1125</v>
      </c>
      <c r="I5" s="667" t="s">
        <v>1126</v>
      </c>
      <c r="J5" s="664" t="s">
        <v>1127</v>
      </c>
    </row>
    <row r="6" spans="1:11" s="630" customFormat="1" ht="48.75" customHeight="1" thickBot="1" x14ac:dyDescent="0.35">
      <c r="A6" s="632"/>
      <c r="B6" s="668"/>
      <c r="C6" s="669" t="s">
        <v>87</v>
      </c>
      <c r="D6" s="670"/>
      <c r="E6" s="671"/>
      <c r="F6" s="672"/>
      <c r="G6" s="673"/>
      <c r="H6" s="669" t="s">
        <v>87</v>
      </c>
      <c r="I6" s="674"/>
      <c r="J6" s="675"/>
      <c r="K6" s="633"/>
    </row>
    <row r="7" spans="1:11" ht="24" customHeight="1" x14ac:dyDescent="0.3">
      <c r="A7" s="634"/>
      <c r="B7" s="703" t="s">
        <v>1128</v>
      </c>
      <c r="C7" s="704"/>
      <c r="D7" s="705"/>
      <c r="E7" s="661"/>
      <c r="F7" s="664"/>
      <c r="G7" s="703" t="s">
        <v>1129</v>
      </c>
      <c r="H7" s="706"/>
      <c r="I7" s="707"/>
      <c r="J7" s="665"/>
      <c r="K7" s="635"/>
    </row>
    <row r="8" spans="1:11" ht="27" customHeight="1" x14ac:dyDescent="0.3">
      <c r="A8" s="636" t="s">
        <v>1130</v>
      </c>
      <c r="B8" s="676" t="s">
        <v>1131</v>
      </c>
      <c r="C8" s="677">
        <v>1226491</v>
      </c>
      <c r="D8" s="677">
        <v>7306302</v>
      </c>
      <c r="E8" s="678">
        <f>SUM(C8:D8)</f>
        <v>8532793</v>
      </c>
      <c r="F8" s="679" t="s">
        <v>1132</v>
      </c>
      <c r="G8" s="676" t="s">
        <v>1133</v>
      </c>
      <c r="H8" s="680">
        <v>7362255</v>
      </c>
      <c r="I8" s="680">
        <f>276009+1</f>
        <v>276010</v>
      </c>
      <c r="J8" s="677">
        <f>SUM(H8:I8)</f>
        <v>7638265</v>
      </c>
      <c r="K8" s="637"/>
    </row>
    <row r="9" spans="1:11" ht="27" customHeight="1" x14ac:dyDescent="0.3">
      <c r="A9" s="636" t="s">
        <v>1134</v>
      </c>
      <c r="B9" s="676" t="s">
        <v>91</v>
      </c>
      <c r="C9" s="677">
        <v>1462</v>
      </c>
      <c r="D9" s="677">
        <v>10562156</v>
      </c>
      <c r="E9" s="678">
        <f>SUM(C9:D9)</f>
        <v>10563618</v>
      </c>
      <c r="F9" s="681" t="s">
        <v>1135</v>
      </c>
      <c r="G9" s="682" t="s">
        <v>1136</v>
      </c>
      <c r="H9" s="683">
        <v>1055057</v>
      </c>
      <c r="I9" s="803">
        <v>34751</v>
      </c>
      <c r="J9" s="677">
        <f>SUM(H9:I9)</f>
        <v>1089808</v>
      </c>
      <c r="K9" s="637"/>
    </row>
    <row r="10" spans="1:11" ht="27" customHeight="1" x14ac:dyDescent="0.3">
      <c r="A10" s="636" t="s">
        <v>1137</v>
      </c>
      <c r="B10" s="676" t="s">
        <v>1138</v>
      </c>
      <c r="C10" s="677">
        <v>1205295</v>
      </c>
      <c r="D10" s="677">
        <f>2885627+1</f>
        <v>2885628</v>
      </c>
      <c r="E10" s="678">
        <f>SUM(C10:D10)</f>
        <v>4090923</v>
      </c>
      <c r="F10" s="681" t="s">
        <v>1139</v>
      </c>
      <c r="G10" s="682" t="s">
        <v>1140</v>
      </c>
      <c r="H10" s="683">
        <v>3417892</v>
      </c>
      <c r="I10" s="683">
        <v>4006987</v>
      </c>
      <c r="J10" s="677">
        <f>SUM(H10:I10)</f>
        <v>7424879</v>
      </c>
      <c r="K10" s="637"/>
    </row>
    <row r="11" spans="1:11" ht="27" customHeight="1" x14ac:dyDescent="0.3">
      <c r="A11" s="639" t="s">
        <v>1141</v>
      </c>
      <c r="B11" s="682" t="s">
        <v>163</v>
      </c>
      <c r="C11" s="686">
        <f>2984</f>
        <v>2984</v>
      </c>
      <c r="D11" s="677">
        <v>70488</v>
      </c>
      <c r="E11" s="678">
        <f>SUM(C11:D11)</f>
        <v>73472</v>
      </c>
      <c r="F11" s="684" t="s">
        <v>1142</v>
      </c>
      <c r="G11" s="685" t="s">
        <v>1143</v>
      </c>
      <c r="H11" s="683"/>
      <c r="I11" s="683">
        <v>124544</v>
      </c>
      <c r="J11" s="677">
        <f>SUM(H11:I11)</f>
        <v>124544</v>
      </c>
      <c r="K11" s="637"/>
    </row>
    <row r="12" spans="1:11" ht="24" customHeight="1" thickBot="1" x14ac:dyDescent="0.4">
      <c r="A12" s="636"/>
      <c r="B12" s="676"/>
      <c r="C12" s="686"/>
      <c r="D12" s="686"/>
      <c r="E12" s="678"/>
      <c r="F12" s="681" t="s">
        <v>1144</v>
      </c>
      <c r="G12" s="682" t="s">
        <v>1145</v>
      </c>
      <c r="H12" s="677">
        <v>21594</v>
      </c>
      <c r="I12" s="677">
        <v>7318623</v>
      </c>
      <c r="J12" s="677">
        <f>SUM(H12:I12)</f>
        <v>7340217</v>
      </c>
      <c r="K12" s="640"/>
    </row>
    <row r="13" spans="1:11" ht="27" customHeight="1" thickBot="1" x14ac:dyDescent="0.4">
      <c r="A13" s="641"/>
      <c r="B13" s="687" t="s">
        <v>1146</v>
      </c>
      <c r="C13" s="688">
        <f>SUM(C8:C12)</f>
        <v>2436232</v>
      </c>
      <c r="D13" s="688">
        <f>SUM(D8:D12)</f>
        <v>20824574</v>
      </c>
      <c r="E13" s="688">
        <f>SUM(C13:D13)</f>
        <v>23260806</v>
      </c>
      <c r="F13" s="689"/>
      <c r="G13" s="687" t="s">
        <v>1147</v>
      </c>
      <c r="H13" s="690">
        <f>SUM(H8:H12)</f>
        <v>11856798</v>
      </c>
      <c r="I13" s="690">
        <f>SUM(I8:I12)</f>
        <v>11760915</v>
      </c>
      <c r="J13" s="690">
        <f>SUM(J8:J12)</f>
        <v>23617713</v>
      </c>
      <c r="K13" s="640" t="s">
        <v>1148</v>
      </c>
    </row>
    <row r="14" spans="1:11" s="642" customFormat="1" ht="27" customHeight="1" x14ac:dyDescent="0.35">
      <c r="A14" s="636" t="s">
        <v>1149</v>
      </c>
      <c r="B14" s="682" t="s">
        <v>169</v>
      </c>
      <c r="C14" s="677">
        <v>41277</v>
      </c>
      <c r="D14" s="677">
        <v>631501</v>
      </c>
      <c r="E14" s="678">
        <f>SUM(C14:D14)</f>
        <v>672778</v>
      </c>
      <c r="F14" s="691" t="s">
        <v>1150</v>
      </c>
      <c r="G14" s="692" t="s">
        <v>190</v>
      </c>
      <c r="H14" s="693">
        <v>240222</v>
      </c>
      <c r="I14" s="693">
        <v>1569377</v>
      </c>
      <c r="J14" s="677">
        <f>SUM(H14:I14)</f>
        <v>1809599</v>
      </c>
      <c r="K14" s="640"/>
    </row>
    <row r="15" spans="1:11" ht="27" customHeight="1" x14ac:dyDescent="0.35">
      <c r="A15" s="636" t="s">
        <v>1151</v>
      </c>
      <c r="B15" s="682" t="s">
        <v>174</v>
      </c>
      <c r="C15" s="677">
        <v>5379</v>
      </c>
      <c r="D15" s="677">
        <v>1118966</v>
      </c>
      <c r="E15" s="678">
        <f>SUM(C15:D15)</f>
        <v>1124345</v>
      </c>
      <c r="F15" s="694" t="s">
        <v>1152</v>
      </c>
      <c r="G15" s="682" t="s">
        <v>1153</v>
      </c>
      <c r="H15" s="683">
        <v>111607</v>
      </c>
      <c r="I15" s="683">
        <v>723532</v>
      </c>
      <c r="J15" s="677">
        <f>SUM(H15:I15)</f>
        <v>835139</v>
      </c>
      <c r="K15" s="640"/>
    </row>
    <row r="16" spans="1:11" ht="27" customHeight="1" thickBot="1" x14ac:dyDescent="0.4">
      <c r="A16" s="636" t="s">
        <v>1154</v>
      </c>
      <c r="B16" s="682" t="s">
        <v>1155</v>
      </c>
      <c r="C16" s="677"/>
      <c r="D16" s="677">
        <v>21484</v>
      </c>
      <c r="E16" s="678">
        <f>SUM(C16:D16)</f>
        <v>21484</v>
      </c>
      <c r="F16" s="684" t="s">
        <v>1156</v>
      </c>
      <c r="G16" s="695" t="s">
        <v>1157</v>
      </c>
      <c r="H16" s="680"/>
      <c r="I16" s="680">
        <v>886340</v>
      </c>
      <c r="J16" s="677">
        <f>SUM(H16:I16)</f>
        <v>886340</v>
      </c>
      <c r="K16" s="640"/>
    </row>
    <row r="17" spans="1:11" ht="27" customHeight="1" thickBot="1" x14ac:dyDescent="0.4">
      <c r="A17" s="643"/>
      <c r="B17" s="687" t="s">
        <v>1158</v>
      </c>
      <c r="C17" s="688">
        <f>SUM(C14:C16)</f>
        <v>46656</v>
      </c>
      <c r="D17" s="688">
        <f>SUM(D14:D16)</f>
        <v>1771951</v>
      </c>
      <c r="E17" s="688">
        <f>SUM(E14:E16)</f>
        <v>1818607</v>
      </c>
      <c r="F17" s="689"/>
      <c r="G17" s="696" t="s">
        <v>1159</v>
      </c>
      <c r="H17" s="690">
        <f>SUM(H14:H16)</f>
        <v>351829</v>
      </c>
      <c r="I17" s="690">
        <f>SUM(I14:I16)</f>
        <v>3179249</v>
      </c>
      <c r="J17" s="690">
        <f>SUM(J14:J16)</f>
        <v>3531078</v>
      </c>
      <c r="K17" s="640" t="s">
        <v>1148</v>
      </c>
    </row>
    <row r="18" spans="1:11" ht="27" customHeight="1" thickBot="1" x14ac:dyDescent="0.35">
      <c r="A18" s="643"/>
      <c r="B18" s="696" t="s">
        <v>1160</v>
      </c>
      <c r="C18" s="688">
        <f>+C13+C17</f>
        <v>2482888</v>
      </c>
      <c r="D18" s="688">
        <f>D13+D17</f>
        <v>22596525</v>
      </c>
      <c r="E18" s="688">
        <f>SUM(E13+E17)</f>
        <v>25079413</v>
      </c>
      <c r="F18" s="689"/>
      <c r="G18" s="687" t="s">
        <v>1161</v>
      </c>
      <c r="H18" s="690">
        <f>SUM(H17,H13)</f>
        <v>12208627</v>
      </c>
      <c r="I18" s="690">
        <f>SUM(I17,I13)</f>
        <v>14940164</v>
      </c>
      <c r="J18" s="690">
        <f>SUM(J17,J13)</f>
        <v>27148791</v>
      </c>
      <c r="K18" s="637"/>
    </row>
    <row r="19" spans="1:11" ht="27" customHeight="1" thickBot="1" x14ac:dyDescent="0.35">
      <c r="A19" s="644" t="s">
        <v>1162</v>
      </c>
      <c r="B19" s="697" t="s">
        <v>1163</v>
      </c>
      <c r="C19" s="680">
        <v>487320</v>
      </c>
      <c r="D19" s="698">
        <v>9205546</v>
      </c>
      <c r="E19" s="678">
        <f>SUM(C19:D19)</f>
        <v>9692866</v>
      </c>
      <c r="F19" s="708" t="s">
        <v>1164</v>
      </c>
      <c r="G19" s="699" t="s">
        <v>1165</v>
      </c>
      <c r="H19" s="683"/>
      <c r="I19" s="683">
        <f>221855+120749</f>
        <v>342604</v>
      </c>
      <c r="J19" s="677">
        <f>SUM(H19:I19)</f>
        <v>342604</v>
      </c>
      <c r="K19" s="637"/>
    </row>
    <row r="20" spans="1:11" ht="36.75" customHeight="1" thickBot="1" x14ac:dyDescent="0.35">
      <c r="A20" s="645"/>
      <c r="B20" s="687" t="s">
        <v>1166</v>
      </c>
      <c r="C20" s="688">
        <f>SUM(C18:C19)</f>
        <v>2970208</v>
      </c>
      <c r="D20" s="688">
        <f>SUM(D18:D19)</f>
        <v>31802071</v>
      </c>
      <c r="E20" s="688">
        <f>SUM(C20:D20)</f>
        <v>34772279</v>
      </c>
      <c r="F20" s="689"/>
      <c r="G20" s="687" t="s">
        <v>1167</v>
      </c>
      <c r="H20" s="688">
        <f>SUM(H18:H19)</f>
        <v>12208627</v>
      </c>
      <c r="I20" s="688">
        <f>SUM(I18:I19)</f>
        <v>15282768</v>
      </c>
      <c r="J20" s="688">
        <f>SUM(J18:J19)</f>
        <v>27491395</v>
      </c>
      <c r="K20" s="638"/>
    </row>
    <row r="21" spans="1:11" s="638" customFormat="1" ht="24" customHeight="1" x14ac:dyDescent="0.25">
      <c r="B21" s="926"/>
      <c r="E21" s="646"/>
      <c r="F21" s="646"/>
      <c r="H21" s="647"/>
      <c r="I21" s="647"/>
      <c r="J21" s="927"/>
      <c r="K21" s="648"/>
    </row>
    <row r="22" spans="1:11" ht="58.5" customHeight="1" x14ac:dyDescent="0.25">
      <c r="A22" s="638"/>
      <c r="B22" s="649"/>
      <c r="C22" s="638"/>
      <c r="D22" s="638"/>
      <c r="E22" s="650"/>
      <c r="F22" s="646"/>
      <c r="G22" s="1974" t="s">
        <v>1168</v>
      </c>
      <c r="H22" s="1975"/>
      <c r="I22" s="1975"/>
      <c r="J22" s="1975"/>
      <c r="K22" s="648"/>
    </row>
    <row r="23" spans="1:11" ht="24" customHeight="1" x14ac:dyDescent="0.25">
      <c r="A23" s="638"/>
      <c r="B23" s="651"/>
      <c r="C23" s="638"/>
      <c r="E23" s="646"/>
      <c r="F23" s="646"/>
      <c r="I23" s="638"/>
      <c r="J23" s="646"/>
      <c r="K23" s="648"/>
    </row>
    <row r="24" spans="1:11" ht="24" customHeight="1" x14ac:dyDescent="0.25">
      <c r="A24" s="638"/>
      <c r="B24" s="652"/>
      <c r="C24" s="638"/>
      <c r="E24" s="646"/>
      <c r="F24" s="646"/>
      <c r="I24" s="638"/>
      <c r="J24" s="646"/>
      <c r="K24" s="648"/>
    </row>
    <row r="25" spans="1:11" ht="24" customHeight="1" x14ac:dyDescent="0.25">
      <c r="A25" s="638"/>
      <c r="B25" s="652"/>
      <c r="C25" s="638"/>
      <c r="E25" s="646"/>
      <c r="F25" s="646"/>
      <c r="I25" s="638"/>
      <c r="J25" s="646"/>
      <c r="K25" s="648"/>
    </row>
    <row r="26" spans="1:11" ht="24" customHeight="1" x14ac:dyDescent="0.25">
      <c r="A26" s="638"/>
      <c r="C26" s="638"/>
      <c r="D26" s="638"/>
      <c r="E26" s="646"/>
      <c r="F26" s="646"/>
      <c r="I26" s="638"/>
      <c r="J26" s="646"/>
      <c r="K26" s="648"/>
    </row>
    <row r="27" spans="1:11" ht="24" customHeight="1" x14ac:dyDescent="0.25">
      <c r="A27" s="638"/>
      <c r="C27" s="638"/>
      <c r="E27" s="646"/>
      <c r="F27" s="646"/>
      <c r="H27" s="638"/>
      <c r="I27" s="638"/>
      <c r="K27" s="648"/>
    </row>
    <row r="28" spans="1:11" ht="24" customHeight="1" x14ac:dyDescent="0.25">
      <c r="A28" s="638"/>
      <c r="C28" s="638"/>
      <c r="E28" s="646"/>
      <c r="F28" s="646"/>
      <c r="H28" s="638"/>
      <c r="I28" s="638"/>
      <c r="K28" s="648"/>
    </row>
    <row r="29" spans="1:11" ht="24" customHeight="1" x14ac:dyDescent="0.25">
      <c r="A29" s="638"/>
      <c r="C29" s="638"/>
      <c r="E29" s="646"/>
      <c r="F29" s="646"/>
      <c r="H29" s="638"/>
      <c r="I29" s="638"/>
      <c r="K29" s="648"/>
    </row>
    <row r="30" spans="1:11" ht="24" customHeight="1" x14ac:dyDescent="0.25">
      <c r="A30" s="638"/>
      <c r="C30" s="638"/>
      <c r="E30" s="646"/>
      <c r="F30" s="646"/>
      <c r="H30" s="638"/>
      <c r="I30" s="638"/>
      <c r="K30" s="648"/>
    </row>
    <row r="31" spans="1:11" ht="24" customHeight="1" x14ac:dyDescent="0.25">
      <c r="A31" s="638"/>
      <c r="B31" s="651"/>
      <c r="C31" s="638"/>
      <c r="E31" s="638"/>
      <c r="F31" s="646"/>
      <c r="G31" s="649"/>
      <c r="H31" s="638"/>
      <c r="K31" s="638"/>
    </row>
    <row r="32" spans="1:11" ht="24" customHeight="1" x14ac:dyDescent="0.25">
      <c r="C32" s="638"/>
      <c r="F32" s="646"/>
      <c r="J32" s="646"/>
      <c r="K32" s="638"/>
    </row>
    <row r="33" spans="3:10" ht="24" customHeight="1" x14ac:dyDescent="0.25">
      <c r="C33" s="638"/>
      <c r="E33" s="627"/>
      <c r="F33" s="646"/>
      <c r="J33" s="638"/>
    </row>
    <row r="34" spans="3:10" ht="24" customHeight="1" x14ac:dyDescent="0.25">
      <c r="C34" s="638"/>
      <c r="E34" s="638"/>
      <c r="J34" s="627"/>
    </row>
    <row r="35" spans="3:10" ht="24" customHeight="1" x14ac:dyDescent="0.25">
      <c r="E35" s="627"/>
      <c r="F35" s="646"/>
      <c r="J35" s="627"/>
    </row>
    <row r="36" spans="3:10" ht="24" customHeight="1" x14ac:dyDescent="0.25">
      <c r="E36" s="646"/>
      <c r="F36" s="646"/>
      <c r="J36" s="646"/>
    </row>
    <row r="37" spans="3:10" ht="24" customHeight="1" x14ac:dyDescent="0.25"/>
    <row r="38" spans="3:10" ht="24" customHeight="1" x14ac:dyDescent="0.25"/>
    <row r="39" spans="3:10" ht="24" customHeight="1" x14ac:dyDescent="0.25"/>
    <row r="40" spans="3:10" ht="24" customHeight="1" x14ac:dyDescent="0.25"/>
    <row r="41" spans="3:10" ht="24" customHeight="1" x14ac:dyDescent="0.25"/>
  </sheetData>
  <mergeCells count="5">
    <mergeCell ref="B1:E1"/>
    <mergeCell ref="G1:J1"/>
    <mergeCell ref="B2:E2"/>
    <mergeCell ref="G2:J2"/>
    <mergeCell ref="G22:J22"/>
  </mergeCells>
  <printOptions horizontalCentered="1" verticalCentered="1"/>
  <pageMargins left="0.19685039370078741" right="0.19685039370078741" top="0.15748031496062992" bottom="0" header="0.55118110236220474" footer="0.15748031496062992"/>
  <pageSetup paperSize="9" scale="59" orientation="landscape" r:id="rId1"/>
  <headerFooter alignWithMargins="0">
    <oddHeader xml:space="preserve">&amp;R&amp;"Arial,Félkövér"&amp;14 &amp;"Calibri,Félkövér"&amp;11 1. melléklet  a 13/2023. (V.26.) önkormányzati rendelethez </oddHeader>
  </headerFooter>
  <colBreaks count="1" manualBreakCount="1">
    <brk id="5" max="21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21"/>
  <dimension ref="A1:I52"/>
  <sheetViews>
    <sheetView view="pageLayout" topLeftCell="A44" zoomScaleNormal="75" zoomScaleSheetLayoutView="100" workbookViewId="0">
      <selection activeCell="D50" sqref="D50"/>
    </sheetView>
  </sheetViews>
  <sheetFormatPr defaultColWidth="9.33203125" defaultRowHeight="15" customHeight="1" x14ac:dyDescent="0.2"/>
  <cols>
    <col min="1" max="1" width="17.33203125" style="3" customWidth="1"/>
    <col min="2" max="2" width="116.33203125" style="3" customWidth="1"/>
    <col min="3" max="6" width="23.83203125" style="3" customWidth="1"/>
    <col min="7" max="7" width="27.6640625" style="3" customWidth="1"/>
    <col min="8" max="8" width="22.1640625" style="3" customWidth="1"/>
    <col min="9" max="9" width="9.33203125" style="50"/>
    <col min="10" max="16384" width="9.33203125" style="3"/>
  </cols>
  <sheetData>
    <row r="1" spans="1:7" ht="15" customHeight="1" x14ac:dyDescent="0.25">
      <c r="A1" s="152"/>
      <c r="B1" s="2074"/>
      <c r="C1" s="2074"/>
      <c r="D1" s="185"/>
      <c r="E1" s="152"/>
      <c r="F1" s="152"/>
    </row>
    <row r="2" spans="1:7" ht="27" customHeight="1" x14ac:dyDescent="0.3">
      <c r="A2" s="152"/>
      <c r="B2" s="2075" t="s">
        <v>22</v>
      </c>
      <c r="C2" s="2075"/>
      <c r="D2" s="2075"/>
      <c r="E2" s="2075"/>
      <c r="F2" s="2075"/>
    </row>
    <row r="3" spans="1:7" ht="18" customHeight="1" x14ac:dyDescent="0.25">
      <c r="A3" s="152"/>
      <c r="B3" s="185"/>
      <c r="C3" s="185"/>
      <c r="D3" s="185"/>
      <c r="E3" s="190"/>
      <c r="F3" s="190"/>
      <c r="G3" s="12"/>
    </row>
    <row r="4" spans="1:7" ht="27" customHeight="1" thickBot="1" x14ac:dyDescent="0.3">
      <c r="A4" s="152"/>
      <c r="B4" s="154" t="s">
        <v>148</v>
      </c>
      <c r="C4" s="191"/>
      <c r="D4" s="191"/>
      <c r="E4" s="191"/>
      <c r="F4" s="156" t="s">
        <v>17</v>
      </c>
      <c r="G4" s="48"/>
    </row>
    <row r="5" spans="1:7" ht="27" customHeight="1" x14ac:dyDescent="0.25">
      <c r="A5" s="193"/>
      <c r="B5" s="196" t="s">
        <v>31</v>
      </c>
      <c r="C5" s="2072" t="s">
        <v>515</v>
      </c>
      <c r="D5" s="2072"/>
      <c r="E5" s="709" t="s">
        <v>340</v>
      </c>
      <c r="F5" s="713" t="s">
        <v>100</v>
      </c>
      <c r="G5" s="53"/>
    </row>
    <row r="6" spans="1:7" ht="28.5" customHeight="1" thickBot="1" x14ac:dyDescent="0.3">
      <c r="A6" s="152"/>
      <c r="B6" s="197"/>
      <c r="C6" s="714" t="s">
        <v>202</v>
      </c>
      <c r="D6" s="714" t="s">
        <v>98</v>
      </c>
      <c r="E6" s="157" t="s">
        <v>99</v>
      </c>
      <c r="F6" s="158" t="s">
        <v>101</v>
      </c>
      <c r="G6" s="53"/>
    </row>
    <row r="7" spans="1:7" ht="39" customHeight="1" x14ac:dyDescent="0.3">
      <c r="A7" s="152"/>
      <c r="B7" s="1654" t="s">
        <v>1275</v>
      </c>
      <c r="C7" s="366">
        <v>899844</v>
      </c>
      <c r="D7" s="366"/>
      <c r="E7" s="369"/>
      <c r="F7" s="431"/>
      <c r="G7" s="929"/>
    </row>
    <row r="8" spans="1:7" ht="39" customHeight="1" x14ac:dyDescent="0.3">
      <c r="A8" s="152"/>
      <c r="B8" s="1655" t="s">
        <v>1276</v>
      </c>
      <c r="C8" s="369">
        <v>107207</v>
      </c>
      <c r="D8" s="369"/>
      <c r="E8" s="369"/>
      <c r="F8" s="432"/>
      <c r="G8" s="929"/>
    </row>
    <row r="9" spans="1:7" ht="39" customHeight="1" x14ac:dyDescent="0.3">
      <c r="A9" s="152"/>
      <c r="B9" s="1655" t="s">
        <v>1277</v>
      </c>
      <c r="C9" s="433"/>
      <c r="D9" s="433"/>
      <c r="E9" s="433"/>
      <c r="F9" s="431"/>
      <c r="G9" s="929"/>
    </row>
    <row r="10" spans="1:7" ht="24.75" customHeight="1" thickBot="1" x14ac:dyDescent="0.35">
      <c r="A10" s="152"/>
      <c r="B10" s="1656" t="s">
        <v>147</v>
      </c>
      <c r="C10" s="269">
        <f>SUM(C7:C9)</f>
        <v>1007051</v>
      </c>
      <c r="D10" s="269">
        <v>1315363</v>
      </c>
      <c r="E10" s="269">
        <v>1282185</v>
      </c>
      <c r="F10" s="289">
        <f t="shared" ref="F10" si="0">+E10/D10*100</f>
        <v>97.477654457362718</v>
      </c>
      <c r="G10" s="54"/>
    </row>
    <row r="11" spans="1:7" ht="24.75" customHeight="1" x14ac:dyDescent="0.3">
      <c r="A11" s="152"/>
      <c r="B11" s="1521" t="s">
        <v>466</v>
      </c>
      <c r="C11" s="267">
        <v>2000</v>
      </c>
      <c r="D11" s="267">
        <v>2000</v>
      </c>
      <c r="E11" s="267">
        <v>340</v>
      </c>
      <c r="F11" s="274">
        <f t="shared" ref="F11:F27" si="1">+E11/D11*100</f>
        <v>17</v>
      </c>
      <c r="G11" s="55"/>
    </row>
    <row r="12" spans="1:7" ht="24.75" customHeight="1" x14ac:dyDescent="0.3">
      <c r="A12" s="152"/>
      <c r="B12" s="1655" t="s">
        <v>467</v>
      </c>
      <c r="C12" s="433">
        <v>120000</v>
      </c>
      <c r="D12" s="433">
        <v>120000</v>
      </c>
      <c r="E12" s="436">
        <v>120000</v>
      </c>
      <c r="F12" s="432">
        <f t="shared" si="1"/>
        <v>100</v>
      </c>
      <c r="G12" s="929"/>
    </row>
    <row r="13" spans="1:7" ht="24.75" customHeight="1" x14ac:dyDescent="0.3">
      <c r="A13" s="152"/>
      <c r="B13" s="1521" t="s">
        <v>159</v>
      </c>
      <c r="C13" s="267">
        <v>1555</v>
      </c>
      <c r="D13" s="267">
        <v>1571</v>
      </c>
      <c r="E13" s="267">
        <v>1526</v>
      </c>
      <c r="F13" s="283">
        <f t="shared" si="1"/>
        <v>97.135582431572246</v>
      </c>
      <c r="G13" s="929"/>
    </row>
    <row r="14" spans="1:7" ht="24.75" customHeight="1" x14ac:dyDescent="0.3">
      <c r="A14" s="152"/>
      <c r="B14" s="1657" t="s">
        <v>74</v>
      </c>
      <c r="C14" s="383">
        <v>150000</v>
      </c>
      <c r="D14" s="383">
        <v>254031</v>
      </c>
      <c r="E14" s="437">
        <v>120972</v>
      </c>
      <c r="F14" s="438">
        <f t="shared" si="1"/>
        <v>47.620959646657298</v>
      </c>
      <c r="G14" s="929"/>
    </row>
    <row r="15" spans="1:7" ht="38.25" customHeight="1" x14ac:dyDescent="0.3">
      <c r="A15" s="152"/>
      <c r="B15" s="1658" t="s">
        <v>613</v>
      </c>
      <c r="C15" s="267"/>
      <c r="D15" s="267">
        <v>2000</v>
      </c>
      <c r="E15" s="267">
        <v>2000</v>
      </c>
      <c r="F15" s="283">
        <f t="shared" si="1"/>
        <v>100</v>
      </c>
      <c r="G15" s="55"/>
    </row>
    <row r="16" spans="1:7" ht="38.25" customHeight="1" x14ac:dyDescent="0.3">
      <c r="A16" s="152"/>
      <c r="B16" s="1658" t="s">
        <v>614</v>
      </c>
      <c r="C16" s="267"/>
      <c r="D16" s="267">
        <v>2000</v>
      </c>
      <c r="E16" s="267">
        <v>2000</v>
      </c>
      <c r="F16" s="283">
        <f t="shared" si="1"/>
        <v>100</v>
      </c>
      <c r="G16" s="55"/>
    </row>
    <row r="17" spans="1:7" ht="38.25" customHeight="1" x14ac:dyDescent="0.3">
      <c r="A17" s="152"/>
      <c r="B17" s="1658" t="s">
        <v>615</v>
      </c>
      <c r="C17" s="267"/>
      <c r="D17" s="267">
        <v>2000</v>
      </c>
      <c r="E17" s="267">
        <v>2000</v>
      </c>
      <c r="F17" s="283">
        <f t="shared" si="1"/>
        <v>100</v>
      </c>
      <c r="G17" s="55"/>
    </row>
    <row r="18" spans="1:7" ht="18.75" x14ac:dyDescent="0.3">
      <c r="A18" s="152"/>
      <c r="B18" s="1659" t="s">
        <v>616</v>
      </c>
      <c r="C18" s="439"/>
      <c r="D18" s="267">
        <v>3000</v>
      </c>
      <c r="E18" s="284">
        <v>3000</v>
      </c>
      <c r="F18" s="440">
        <f t="shared" si="1"/>
        <v>100</v>
      </c>
      <c r="G18" s="929"/>
    </row>
    <row r="19" spans="1:7" ht="24.75" customHeight="1" x14ac:dyDescent="0.3">
      <c r="A19" s="152"/>
      <c r="B19" s="1521" t="s">
        <v>66</v>
      </c>
      <c r="C19" s="267">
        <v>2500</v>
      </c>
      <c r="D19" s="267">
        <v>2561</v>
      </c>
      <c r="E19" s="267">
        <v>2277</v>
      </c>
      <c r="F19" s="440">
        <f t="shared" si="1"/>
        <v>88.910581803982822</v>
      </c>
      <c r="G19" s="55"/>
    </row>
    <row r="20" spans="1:7" ht="24.75" customHeight="1" x14ac:dyDescent="0.3">
      <c r="A20" s="152"/>
      <c r="B20" s="1521" t="s">
        <v>145</v>
      </c>
      <c r="C20" s="267">
        <v>500</v>
      </c>
      <c r="D20" s="267">
        <v>2500</v>
      </c>
      <c r="E20" s="267">
        <v>2500</v>
      </c>
      <c r="F20" s="283">
        <f t="shared" si="1"/>
        <v>100</v>
      </c>
      <c r="G20" s="55"/>
    </row>
    <row r="21" spans="1:7" ht="24.75" customHeight="1" x14ac:dyDescent="0.3">
      <c r="A21" s="152"/>
      <c r="B21" s="1658" t="s">
        <v>48</v>
      </c>
      <c r="C21" s="267">
        <v>9000</v>
      </c>
      <c r="D21" s="267">
        <v>9000</v>
      </c>
      <c r="E21" s="267">
        <v>9000</v>
      </c>
      <c r="F21" s="283">
        <f t="shared" si="1"/>
        <v>100</v>
      </c>
      <c r="G21" s="55"/>
    </row>
    <row r="22" spans="1:7" ht="23.25" customHeight="1" x14ac:dyDescent="0.3">
      <c r="A22" s="152"/>
      <c r="B22" s="1660" t="s">
        <v>387</v>
      </c>
      <c r="C22" s="267">
        <v>10000</v>
      </c>
      <c r="D22" s="267">
        <v>10000</v>
      </c>
      <c r="E22" s="267">
        <v>9960</v>
      </c>
      <c r="F22" s="283">
        <f t="shared" si="1"/>
        <v>99.6</v>
      </c>
      <c r="G22" s="55"/>
    </row>
    <row r="23" spans="1:7" ht="38.25" customHeight="1" x14ac:dyDescent="0.3">
      <c r="A23" s="152"/>
      <c r="B23" s="1658" t="s">
        <v>388</v>
      </c>
      <c r="C23" s="267">
        <v>4500</v>
      </c>
      <c r="D23" s="267">
        <v>5350</v>
      </c>
      <c r="E23" s="267">
        <v>3150</v>
      </c>
      <c r="F23" s="283">
        <f t="shared" si="1"/>
        <v>58.878504672897193</v>
      </c>
      <c r="G23" s="55"/>
    </row>
    <row r="24" spans="1:7" ht="24.75" customHeight="1" x14ac:dyDescent="0.3">
      <c r="A24" s="152"/>
      <c r="B24" s="1661" t="s">
        <v>5</v>
      </c>
      <c r="C24" s="441">
        <v>57000</v>
      </c>
      <c r="D24" s="441">
        <v>57132</v>
      </c>
      <c r="E24" s="441">
        <v>41976</v>
      </c>
      <c r="F24" s="283">
        <f t="shared" si="1"/>
        <v>73.471959672337732</v>
      </c>
      <c r="G24" s="55"/>
    </row>
    <row r="25" spans="1:7" ht="24.75" customHeight="1" x14ac:dyDescent="0.3">
      <c r="A25" s="152"/>
      <c r="B25" s="1661" t="s">
        <v>391</v>
      </c>
      <c r="C25" s="441">
        <v>3000</v>
      </c>
      <c r="D25" s="441">
        <v>17852</v>
      </c>
      <c r="E25" s="441">
        <v>16700</v>
      </c>
      <c r="F25" s="283">
        <f t="shared" si="1"/>
        <v>93.546941519157528</v>
      </c>
      <c r="G25" s="55"/>
    </row>
    <row r="26" spans="1:7" ht="24.75" customHeight="1" x14ac:dyDescent="0.3">
      <c r="A26" s="152"/>
      <c r="B26" s="1661" t="s">
        <v>392</v>
      </c>
      <c r="C26" s="441"/>
      <c r="D26" s="441">
        <v>327</v>
      </c>
      <c r="E26" s="441">
        <v>137</v>
      </c>
      <c r="F26" s="283">
        <f t="shared" si="1"/>
        <v>41.896024464831804</v>
      </c>
      <c r="G26" s="55"/>
    </row>
    <row r="27" spans="1:7" ht="24.75" customHeight="1" x14ac:dyDescent="0.3">
      <c r="A27" s="152"/>
      <c r="B27" s="1661" t="s">
        <v>158</v>
      </c>
      <c r="C27" s="441">
        <v>660</v>
      </c>
      <c r="D27" s="441">
        <v>660</v>
      </c>
      <c r="E27" s="441">
        <v>300</v>
      </c>
      <c r="F27" s="283">
        <f t="shared" si="1"/>
        <v>45.454545454545453</v>
      </c>
      <c r="G27" s="55"/>
    </row>
    <row r="28" spans="1:7" ht="24.75" customHeight="1" x14ac:dyDescent="0.3">
      <c r="A28" s="152"/>
      <c r="B28" s="1655" t="s">
        <v>256</v>
      </c>
      <c r="C28" s="369">
        <v>5000</v>
      </c>
      <c r="D28" s="369">
        <v>916</v>
      </c>
      <c r="E28" s="369"/>
      <c r="F28" s="431">
        <f t="shared" ref="F28:F37" si="2">+E28/D28*100</f>
        <v>0</v>
      </c>
      <c r="G28" s="929"/>
    </row>
    <row r="29" spans="1:7" ht="38.25" customHeight="1" x14ac:dyDescent="0.3">
      <c r="A29" s="152"/>
      <c r="B29" s="1658" t="s">
        <v>389</v>
      </c>
      <c r="C29" s="267">
        <v>10000</v>
      </c>
      <c r="D29" s="267">
        <v>10000</v>
      </c>
      <c r="E29" s="267">
        <v>10000</v>
      </c>
      <c r="F29" s="283">
        <f t="shared" si="2"/>
        <v>100</v>
      </c>
      <c r="G29" s="55"/>
    </row>
    <row r="30" spans="1:7" ht="38.25" customHeight="1" x14ac:dyDescent="0.3">
      <c r="A30" s="152"/>
      <c r="B30" s="1658" t="s">
        <v>570</v>
      </c>
      <c r="C30" s="267"/>
      <c r="D30" s="267">
        <v>40358</v>
      </c>
      <c r="E30" s="267">
        <f>35882-1</f>
        <v>35881</v>
      </c>
      <c r="F30" s="283">
        <f t="shared" si="2"/>
        <v>88.906784280687845</v>
      </c>
      <c r="G30" s="55"/>
    </row>
    <row r="31" spans="1:7" ht="18.75" customHeight="1" x14ac:dyDescent="0.3">
      <c r="A31" s="152"/>
      <c r="B31" s="1658" t="s">
        <v>301</v>
      </c>
      <c r="C31" s="267">
        <v>6440</v>
      </c>
      <c r="D31" s="267">
        <v>7300</v>
      </c>
      <c r="E31" s="267">
        <v>6730</v>
      </c>
      <c r="F31" s="283">
        <f t="shared" si="2"/>
        <v>92.191780821917817</v>
      </c>
      <c r="G31" s="55"/>
    </row>
    <row r="32" spans="1:7" ht="24" customHeight="1" x14ac:dyDescent="0.3">
      <c r="A32" s="152"/>
      <c r="B32" s="1658" t="s">
        <v>323</v>
      </c>
      <c r="C32" s="267">
        <v>3000</v>
      </c>
      <c r="D32" s="267">
        <v>3000</v>
      </c>
      <c r="E32" s="267">
        <v>3000</v>
      </c>
      <c r="F32" s="283">
        <f t="shared" si="2"/>
        <v>100</v>
      </c>
      <c r="G32" s="55"/>
    </row>
    <row r="33" spans="1:9" ht="38.25" customHeight="1" x14ac:dyDescent="0.3">
      <c r="A33" s="152"/>
      <c r="B33" s="1658" t="s">
        <v>493</v>
      </c>
      <c r="C33" s="267"/>
      <c r="D33" s="267">
        <v>1200</v>
      </c>
      <c r="E33" s="267"/>
      <c r="F33" s="283">
        <f t="shared" si="2"/>
        <v>0</v>
      </c>
      <c r="G33" s="55"/>
    </row>
    <row r="34" spans="1:9" ht="20.25" customHeight="1" thickBot="1" x14ac:dyDescent="0.35">
      <c r="A34" s="152"/>
      <c r="B34" s="1662" t="s">
        <v>494</v>
      </c>
      <c r="C34" s="265"/>
      <c r="D34" s="265">
        <v>1300</v>
      </c>
      <c r="E34" s="265">
        <v>1300</v>
      </c>
      <c r="F34" s="283">
        <f t="shared" si="2"/>
        <v>100</v>
      </c>
      <c r="G34" s="55"/>
    </row>
    <row r="35" spans="1:9" ht="29.25" customHeight="1" thickBot="1" x14ac:dyDescent="0.35">
      <c r="A35" s="152"/>
      <c r="B35" s="1663" t="s">
        <v>146</v>
      </c>
      <c r="C35" s="278">
        <f>SUM(C11:C34)</f>
        <v>385155</v>
      </c>
      <c r="D35" s="278">
        <f t="shared" ref="D35" si="3">SUM(D11:D34)</f>
        <v>556058</v>
      </c>
      <c r="E35" s="278">
        <f>SUM(E11:E34)</f>
        <v>394749</v>
      </c>
      <c r="F35" s="387">
        <f t="shared" si="2"/>
        <v>70.990616086811087</v>
      </c>
      <c r="G35" s="54"/>
    </row>
    <row r="36" spans="1:9" ht="27" customHeight="1" thickBot="1" x14ac:dyDescent="0.35">
      <c r="A36" s="152"/>
      <c r="B36" s="1664" t="s">
        <v>152</v>
      </c>
      <c r="C36" s="286">
        <f>C35</f>
        <v>385155</v>
      </c>
      <c r="D36" s="286">
        <f t="shared" ref="D36:E36" si="4">D35</f>
        <v>556058</v>
      </c>
      <c r="E36" s="286">
        <f t="shared" si="4"/>
        <v>394749</v>
      </c>
      <c r="F36" s="387">
        <f t="shared" si="2"/>
        <v>70.990616086811087</v>
      </c>
      <c r="G36" s="54"/>
    </row>
    <row r="37" spans="1:9" s="2" customFormat="1" ht="27" customHeight="1" thickBot="1" x14ac:dyDescent="0.35">
      <c r="A37" s="98"/>
      <c r="B37" s="1665" t="s">
        <v>354</v>
      </c>
      <c r="C37" s="278">
        <f>C10+C36</f>
        <v>1392206</v>
      </c>
      <c r="D37" s="278">
        <f>D10+D36</f>
        <v>1871421</v>
      </c>
      <c r="E37" s="278">
        <f>E10+E36</f>
        <v>1676934</v>
      </c>
      <c r="F37" s="387">
        <f t="shared" si="2"/>
        <v>89.607522839596214</v>
      </c>
      <c r="G37" s="54"/>
      <c r="H37" s="3"/>
      <c r="I37" s="50"/>
    </row>
    <row r="38" spans="1:9" ht="27" customHeight="1" x14ac:dyDescent="0.25">
      <c r="A38" s="152"/>
      <c r="B38" s="1886"/>
      <c r="C38" s="152"/>
      <c r="D38" s="152"/>
      <c r="E38" s="152"/>
      <c r="F38" s="152"/>
      <c r="G38" s="55"/>
    </row>
    <row r="39" spans="1:9" ht="27" customHeight="1" thickBot="1" x14ac:dyDescent="0.3">
      <c r="A39" s="152"/>
      <c r="B39" s="1675" t="s">
        <v>18</v>
      </c>
      <c r="C39" s="152"/>
      <c r="D39" s="152"/>
      <c r="E39" s="152"/>
      <c r="F39" s="152"/>
      <c r="G39" s="48"/>
    </row>
    <row r="40" spans="1:9" ht="27" customHeight="1" x14ac:dyDescent="0.3">
      <c r="A40" s="152"/>
      <c r="B40" s="1666" t="s">
        <v>31</v>
      </c>
      <c r="C40" s="2071" t="s">
        <v>515</v>
      </c>
      <c r="D40" s="2071"/>
      <c r="E40" s="271" t="s">
        <v>340</v>
      </c>
      <c r="F40" s="443" t="s">
        <v>100</v>
      </c>
      <c r="G40" s="53"/>
    </row>
    <row r="41" spans="1:9" ht="27" customHeight="1" thickBot="1" x14ac:dyDescent="0.35">
      <c r="A41" s="152"/>
      <c r="B41" s="1667"/>
      <c r="C41" s="362" t="s">
        <v>202</v>
      </c>
      <c r="D41" s="362" t="s">
        <v>98</v>
      </c>
      <c r="E41" s="363" t="s">
        <v>99</v>
      </c>
      <c r="F41" s="364" t="s">
        <v>101</v>
      </c>
      <c r="G41" s="53"/>
    </row>
    <row r="42" spans="1:9" ht="42.75" customHeight="1" x14ac:dyDescent="0.3">
      <c r="A42" s="152"/>
      <c r="B42" s="1668" t="s">
        <v>1278</v>
      </c>
      <c r="C42" s="433"/>
      <c r="D42" s="433"/>
      <c r="E42" s="433"/>
      <c r="F42" s="444"/>
      <c r="G42" s="929"/>
    </row>
    <row r="43" spans="1:9" ht="42.75" customHeight="1" x14ac:dyDescent="0.3">
      <c r="A43" s="152"/>
      <c r="B43" s="1669" t="s">
        <v>1279</v>
      </c>
      <c r="C43" s="369"/>
      <c r="D43" s="369"/>
      <c r="E43" s="369"/>
      <c r="F43" s="445"/>
      <c r="G43" s="929"/>
    </row>
    <row r="44" spans="1:9" ht="42.75" customHeight="1" thickBot="1" x14ac:dyDescent="0.35">
      <c r="A44" s="152"/>
      <c r="B44" s="1670" t="s">
        <v>1280</v>
      </c>
      <c r="C44" s="446"/>
      <c r="D44" s="446"/>
      <c r="E44" s="446"/>
      <c r="F44" s="445"/>
      <c r="G44" s="929"/>
    </row>
    <row r="45" spans="1:9" ht="27" customHeight="1" thickBot="1" x14ac:dyDescent="0.35">
      <c r="A45" s="152"/>
      <c r="B45" s="1527" t="s">
        <v>355</v>
      </c>
      <c r="C45" s="332">
        <f>+C42+C44</f>
        <v>0</v>
      </c>
      <c r="D45" s="332">
        <v>6078</v>
      </c>
      <c r="E45" s="332">
        <v>5873</v>
      </c>
      <c r="F45" s="402">
        <f t="shared" ref="F45" si="5">+E45/D45*100</f>
        <v>96.627179993418892</v>
      </c>
      <c r="G45" s="55"/>
    </row>
    <row r="46" spans="1:9" ht="27" customHeight="1" thickBot="1" x14ac:dyDescent="0.35">
      <c r="A46" s="152"/>
      <c r="B46" s="1526"/>
      <c r="C46" s="447"/>
      <c r="D46" s="447"/>
      <c r="E46" s="447"/>
      <c r="F46" s="292"/>
    </row>
    <row r="47" spans="1:9" ht="27" customHeight="1" thickBot="1" x14ac:dyDescent="0.35">
      <c r="A47" s="152"/>
      <c r="B47" s="1527" t="s">
        <v>356</v>
      </c>
      <c r="C47" s="442">
        <f>+C37+C45</f>
        <v>1392206</v>
      </c>
      <c r="D47" s="442">
        <f>+D37+D45</f>
        <v>1877499</v>
      </c>
      <c r="E47" s="442">
        <f>+E37+E45</f>
        <v>1682807</v>
      </c>
      <c r="F47" s="387">
        <f>+E47/D47*100</f>
        <v>89.630247472834867</v>
      </c>
      <c r="G47" s="21"/>
    </row>
    <row r="52" spans="2:2" ht="15" customHeight="1" x14ac:dyDescent="0.2">
      <c r="B52" s="35"/>
    </row>
  </sheetData>
  <mergeCells count="4">
    <mergeCell ref="B1:C1"/>
    <mergeCell ref="C5:D5"/>
    <mergeCell ref="C40:D40"/>
    <mergeCell ref="B2:F2"/>
  </mergeCells>
  <phoneticPr fontId="0" type="noConversion"/>
  <printOptions horizontalCentered="1" verticalCentered="1"/>
  <pageMargins left="0.19685039370078741" right="0.19685039370078741" top="0.98425196850393704" bottom="0.98425196850393704" header="0.51181102362204722" footer="0.51181102362204722"/>
  <pageSetup paperSize="9" scale="55" orientation="portrait" r:id="rId1"/>
  <headerFooter alignWithMargins="0">
    <oddHeader xml:space="preserve">&amp;R&amp;"-,Félkövér"&amp;11  10. melléklet a 13/2023. (V.26.) önkormányzati rendelethez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18"/>
  <dimension ref="A1:F44"/>
  <sheetViews>
    <sheetView view="pageLayout" topLeftCell="A57" zoomScaleNormal="75" zoomScaleSheetLayoutView="100" workbookViewId="0">
      <selection activeCell="C61" sqref="C61"/>
    </sheetView>
  </sheetViews>
  <sheetFormatPr defaultColWidth="9.33203125" defaultRowHeight="15" customHeight="1" x14ac:dyDescent="0.2"/>
  <cols>
    <col min="1" max="1" width="11.5" style="10" bestFit="1" customWidth="1"/>
    <col min="2" max="2" width="102" style="1" customWidth="1"/>
    <col min="3" max="6" width="16.83203125" style="1" customWidth="1"/>
    <col min="7" max="16384" width="9.33203125" style="1"/>
  </cols>
  <sheetData>
    <row r="1" spans="1:6" s="58" customFormat="1" ht="15" customHeight="1" x14ac:dyDescent="0.25">
      <c r="A1" s="152"/>
      <c r="B1" s="2006"/>
      <c r="C1" s="2006"/>
    </row>
    <row r="2" spans="1:6" s="58" customFormat="1" ht="24" customHeight="1" x14ac:dyDescent="0.25">
      <c r="A2" s="152"/>
      <c r="B2" s="2074" t="s">
        <v>23</v>
      </c>
      <c r="C2" s="2074"/>
      <c r="D2" s="2074"/>
      <c r="E2" s="2074"/>
      <c r="F2" s="2074"/>
    </row>
    <row r="3" spans="1:6" s="58" customFormat="1" ht="15" customHeight="1" x14ac:dyDescent="0.25">
      <c r="A3" s="152"/>
      <c r="B3" s="57"/>
      <c r="C3" s="57"/>
    </row>
    <row r="4" spans="1:6" s="58" customFormat="1" ht="22.5" customHeight="1" thickBot="1" x14ac:dyDescent="0.3">
      <c r="A4" s="152"/>
      <c r="B4" s="154" t="s">
        <v>148</v>
      </c>
      <c r="C4" s="101"/>
      <c r="D4" s="101"/>
      <c r="E4" s="101"/>
      <c r="F4" s="201" t="s">
        <v>17</v>
      </c>
    </row>
    <row r="5" spans="1:6" s="58" customFormat="1" ht="22.5" customHeight="1" x14ac:dyDescent="0.3">
      <c r="A5" s="152"/>
      <c r="B5" s="162" t="s">
        <v>31</v>
      </c>
      <c r="C5" s="2076" t="s">
        <v>515</v>
      </c>
      <c r="D5" s="2077"/>
      <c r="E5" s="271" t="s">
        <v>340</v>
      </c>
      <c r="F5" s="443" t="s">
        <v>100</v>
      </c>
    </row>
    <row r="6" spans="1:6" s="58" customFormat="1" ht="36" customHeight="1" thickBot="1" x14ac:dyDescent="0.35">
      <c r="A6" s="152"/>
      <c r="B6" s="163"/>
      <c r="C6" s="362" t="s">
        <v>202</v>
      </c>
      <c r="D6" s="362" t="s">
        <v>98</v>
      </c>
      <c r="E6" s="363" t="s">
        <v>99</v>
      </c>
      <c r="F6" s="364" t="s">
        <v>101</v>
      </c>
    </row>
    <row r="7" spans="1:6" s="99" customFormat="1" ht="37.5" customHeight="1" x14ac:dyDescent="0.3">
      <c r="A7" s="98"/>
      <c r="B7" s="202" t="s">
        <v>628</v>
      </c>
      <c r="C7" s="375">
        <v>446177</v>
      </c>
      <c r="D7" s="375"/>
      <c r="E7" s="375"/>
      <c r="F7" s="431"/>
    </row>
    <row r="8" spans="1:6" s="99" customFormat="1" ht="36.75" customHeight="1" x14ac:dyDescent="0.3">
      <c r="A8" s="98"/>
      <c r="B8" s="202" t="s">
        <v>629</v>
      </c>
      <c r="C8" s="375">
        <v>689115</v>
      </c>
      <c r="D8" s="375"/>
      <c r="E8" s="369"/>
      <c r="F8" s="431"/>
    </row>
    <row r="9" spans="1:6" s="99" customFormat="1" ht="36" customHeight="1" thickBot="1" x14ac:dyDescent="0.35">
      <c r="A9" s="98"/>
      <c r="B9" s="199" t="s">
        <v>630</v>
      </c>
      <c r="C9" s="433"/>
      <c r="D9" s="433"/>
      <c r="E9" s="433"/>
      <c r="F9" s="431"/>
    </row>
    <row r="10" spans="1:6" s="99" customFormat="1" ht="22.5" customHeight="1" thickBot="1" x14ac:dyDescent="0.35">
      <c r="A10" s="98"/>
      <c r="B10" s="121" t="s">
        <v>149</v>
      </c>
      <c r="C10" s="449">
        <f>SUM(C7:C9)</f>
        <v>1135292</v>
      </c>
      <c r="D10" s="278">
        <v>1292432</v>
      </c>
      <c r="E10" s="278">
        <v>1117124</v>
      </c>
      <c r="F10" s="379">
        <f t="shared" ref="F10" si="0">+E10/D10*100</f>
        <v>86.435804746400578</v>
      </c>
    </row>
    <row r="11" spans="1:6" s="58" customFormat="1" ht="22.5" customHeight="1" x14ac:dyDescent="0.3">
      <c r="A11" s="153"/>
      <c r="B11" s="203" t="s">
        <v>49</v>
      </c>
      <c r="C11" s="366">
        <v>10000</v>
      </c>
      <c r="D11" s="366">
        <v>0</v>
      </c>
      <c r="E11" s="375"/>
      <c r="F11" s="431"/>
    </row>
    <row r="12" spans="1:6" s="58" customFormat="1" ht="22.5" customHeight="1" x14ac:dyDescent="0.3">
      <c r="A12" s="152"/>
      <c r="B12" s="160" t="s">
        <v>72</v>
      </c>
      <c r="C12" s="267">
        <v>800</v>
      </c>
      <c r="D12" s="267">
        <v>0</v>
      </c>
      <c r="E12" s="291">
        <v>0</v>
      </c>
      <c r="F12" s="560"/>
    </row>
    <row r="13" spans="1:6" s="58" customFormat="1" ht="22.5" customHeight="1" x14ac:dyDescent="0.3">
      <c r="A13" s="152"/>
      <c r="B13" s="200" t="s">
        <v>302</v>
      </c>
      <c r="C13" s="267">
        <v>500</v>
      </c>
      <c r="D13" s="267">
        <v>260</v>
      </c>
      <c r="E13" s="291"/>
      <c r="F13" s="560">
        <f t="shared" ref="F13:F22" si="1">+E13/D13*100</f>
        <v>0</v>
      </c>
    </row>
    <row r="14" spans="1:6" s="58" customFormat="1" ht="22.5" customHeight="1" x14ac:dyDescent="0.3">
      <c r="A14" s="152"/>
      <c r="B14" s="160" t="s">
        <v>160</v>
      </c>
      <c r="C14" s="267">
        <v>2485</v>
      </c>
      <c r="D14" s="267">
        <v>3629</v>
      </c>
      <c r="E14" s="291">
        <v>3572</v>
      </c>
      <c r="F14" s="560">
        <f t="shared" si="1"/>
        <v>98.429319371727757</v>
      </c>
    </row>
    <row r="15" spans="1:6" s="58" customFormat="1" ht="22.5" customHeight="1" x14ac:dyDescent="0.3">
      <c r="A15" s="152"/>
      <c r="B15" s="160" t="s">
        <v>59</v>
      </c>
      <c r="C15" s="267">
        <v>2500</v>
      </c>
      <c r="D15" s="267">
        <v>2500</v>
      </c>
      <c r="E15" s="291">
        <v>2500</v>
      </c>
      <c r="F15" s="560">
        <f t="shared" si="1"/>
        <v>100</v>
      </c>
    </row>
    <row r="16" spans="1:6" s="58" customFormat="1" ht="22.5" customHeight="1" x14ac:dyDescent="0.3">
      <c r="A16" s="152"/>
      <c r="B16" s="160" t="s">
        <v>73</v>
      </c>
      <c r="C16" s="267">
        <v>2000</v>
      </c>
      <c r="D16" s="267">
        <v>0</v>
      </c>
      <c r="E16" s="291">
        <v>0</v>
      </c>
      <c r="F16" s="560"/>
    </row>
    <row r="17" spans="1:6" s="58" customFormat="1" ht="39.75" customHeight="1" x14ac:dyDescent="0.3">
      <c r="A17" s="152"/>
      <c r="B17" s="161" t="s">
        <v>50</v>
      </c>
      <c r="C17" s="267">
        <v>2500</v>
      </c>
      <c r="D17" s="267">
        <v>2500</v>
      </c>
      <c r="E17" s="291">
        <v>2500</v>
      </c>
      <c r="F17" s="560">
        <f t="shared" si="1"/>
        <v>100</v>
      </c>
    </row>
    <row r="18" spans="1:6" s="58" customFormat="1" ht="22.5" customHeight="1" x14ac:dyDescent="0.3">
      <c r="A18" s="152"/>
      <c r="B18" s="160" t="s">
        <v>81</v>
      </c>
      <c r="C18" s="267">
        <v>3000</v>
      </c>
      <c r="D18" s="267">
        <v>3000</v>
      </c>
      <c r="E18" s="267">
        <v>2617</v>
      </c>
      <c r="F18" s="372">
        <f t="shared" si="1"/>
        <v>87.233333333333334</v>
      </c>
    </row>
    <row r="19" spans="1:6" s="58" customFormat="1" ht="22.5" customHeight="1" x14ac:dyDescent="0.3">
      <c r="A19" s="152"/>
      <c r="B19" s="160" t="s">
        <v>393</v>
      </c>
      <c r="C19" s="267">
        <v>38420</v>
      </c>
      <c r="D19" s="267">
        <v>39035</v>
      </c>
      <c r="E19" s="267">
        <v>39035</v>
      </c>
      <c r="F19" s="372">
        <f t="shared" si="1"/>
        <v>100</v>
      </c>
    </row>
    <row r="20" spans="1:6" s="58" customFormat="1" ht="22.5" customHeight="1" x14ac:dyDescent="0.3">
      <c r="A20" s="152"/>
      <c r="B20" s="160" t="s">
        <v>226</v>
      </c>
      <c r="C20" s="267">
        <v>3000</v>
      </c>
      <c r="D20" s="267">
        <v>2500</v>
      </c>
      <c r="E20" s="267">
        <v>453</v>
      </c>
      <c r="F20" s="372">
        <f t="shared" si="1"/>
        <v>18.12</v>
      </c>
    </row>
    <row r="21" spans="1:6" s="58" customFormat="1" ht="22.5" customHeight="1" thickBot="1" x14ac:dyDescent="0.35">
      <c r="A21" s="152"/>
      <c r="B21" s="204" t="s">
        <v>153</v>
      </c>
      <c r="C21" s="373">
        <f>SUM(C11:C20)</f>
        <v>65205</v>
      </c>
      <c r="D21" s="373">
        <f>SUM(D11:D20)</f>
        <v>53424</v>
      </c>
      <c r="E21" s="373">
        <f>SUM(E11:E20)</f>
        <v>50677</v>
      </c>
      <c r="F21" s="374">
        <f t="shared" si="1"/>
        <v>94.858116202455818</v>
      </c>
    </row>
    <row r="22" spans="1:6" s="99" customFormat="1" ht="22.5" customHeight="1" thickBot="1" x14ac:dyDescent="0.35">
      <c r="A22" s="98"/>
      <c r="B22" s="187" t="s">
        <v>357</v>
      </c>
      <c r="C22" s="450">
        <f>+C10+C21</f>
        <v>1200497</v>
      </c>
      <c r="D22" s="286">
        <f>+D10+D21</f>
        <v>1345856</v>
      </c>
      <c r="E22" s="450">
        <f>+E10+E21</f>
        <v>1167801</v>
      </c>
      <c r="F22" s="379">
        <f t="shared" si="1"/>
        <v>86.770129939607216</v>
      </c>
    </row>
    <row r="23" spans="1:6" s="58" customFormat="1" ht="15" customHeight="1" x14ac:dyDescent="0.25">
      <c r="A23" s="152"/>
    </row>
    <row r="24" spans="1:6" s="58" customFormat="1" ht="23.25" customHeight="1" thickBot="1" x14ac:dyDescent="0.3">
      <c r="A24" s="152"/>
      <c r="B24" s="80" t="s">
        <v>18</v>
      </c>
      <c r="C24" s="61"/>
      <c r="D24" s="61"/>
      <c r="E24" s="61"/>
      <c r="F24" s="155"/>
    </row>
    <row r="25" spans="1:6" s="58" customFormat="1" ht="22.5" customHeight="1" x14ac:dyDescent="0.3">
      <c r="A25" s="152"/>
      <c r="B25" s="162" t="s">
        <v>31</v>
      </c>
      <c r="C25" s="2076" t="s">
        <v>515</v>
      </c>
      <c r="D25" s="2071"/>
      <c r="E25" s="271" t="s">
        <v>340</v>
      </c>
      <c r="F25" s="443" t="s">
        <v>100</v>
      </c>
    </row>
    <row r="26" spans="1:6" s="58" customFormat="1" ht="22.5" customHeight="1" thickBot="1" x14ac:dyDescent="0.35">
      <c r="A26" s="152"/>
      <c r="B26" s="163"/>
      <c r="C26" s="362" t="s">
        <v>202</v>
      </c>
      <c r="D26" s="362" t="s">
        <v>98</v>
      </c>
      <c r="E26" s="363" t="s">
        <v>99</v>
      </c>
      <c r="F26" s="364" t="s">
        <v>101</v>
      </c>
    </row>
    <row r="27" spans="1:6" s="206" customFormat="1" ht="38.25" customHeight="1" x14ac:dyDescent="0.3">
      <c r="A27" s="205"/>
      <c r="B27" s="198" t="s">
        <v>628</v>
      </c>
      <c r="C27" s="366">
        <v>1778</v>
      </c>
      <c r="D27" s="365"/>
      <c r="E27" s="366"/>
      <c r="F27" s="367"/>
    </row>
    <row r="28" spans="1:6" s="206" customFormat="1" ht="32.25" customHeight="1" x14ac:dyDescent="0.3">
      <c r="A28" s="205"/>
      <c r="B28" s="207" t="s">
        <v>629</v>
      </c>
      <c r="C28" s="451">
        <v>2655</v>
      </c>
      <c r="D28" s="452"/>
      <c r="E28" s="453"/>
      <c r="F28" s="454"/>
    </row>
    <row r="29" spans="1:6" s="206" customFormat="1" ht="35.25" customHeight="1" thickBot="1" x14ac:dyDescent="0.35">
      <c r="A29" s="205"/>
      <c r="B29" s="199" t="s">
        <v>631</v>
      </c>
      <c r="C29" s="455"/>
      <c r="D29" s="456"/>
      <c r="E29" s="455"/>
      <c r="F29" s="457"/>
    </row>
    <row r="30" spans="1:6" s="58" customFormat="1" ht="22.5" customHeight="1" thickBot="1" x14ac:dyDescent="0.35">
      <c r="A30" s="152"/>
      <c r="B30" s="121" t="s">
        <v>358</v>
      </c>
      <c r="C30" s="386">
        <f>SUM(C27:C29)</f>
        <v>4433</v>
      </c>
      <c r="D30" s="386">
        <v>42208</v>
      </c>
      <c r="E30" s="386">
        <v>35396</v>
      </c>
      <c r="F30" s="402">
        <f t="shared" ref="F30" si="2">+E30/D30*100</f>
        <v>83.860879454131918</v>
      </c>
    </row>
    <row r="31" spans="1:6" s="58" customFormat="1" ht="22.5" customHeight="1" thickBot="1" x14ac:dyDescent="0.35">
      <c r="A31" s="152"/>
      <c r="B31" s="94"/>
      <c r="C31" s="337"/>
      <c r="D31" s="337"/>
      <c r="E31" s="458"/>
      <c r="F31" s="459"/>
    </row>
    <row r="32" spans="1:6" s="58" customFormat="1" ht="22.5" customHeight="1" thickBot="1" x14ac:dyDescent="0.35">
      <c r="A32" s="152"/>
      <c r="B32" s="121" t="s">
        <v>359</v>
      </c>
      <c r="C32" s="386">
        <f>+C22+C30</f>
        <v>1204930</v>
      </c>
      <c r="D32" s="386">
        <f>+D22+D30</f>
        <v>1388064</v>
      </c>
      <c r="E32" s="386">
        <f>+E22+E30</f>
        <v>1203197</v>
      </c>
      <c r="F32" s="387">
        <f>+E32/D32*100</f>
        <v>86.681665975055907</v>
      </c>
    </row>
    <row r="34" spans="2:6" ht="15" customHeight="1" x14ac:dyDescent="0.2">
      <c r="E34" s="3"/>
    </row>
    <row r="35" spans="2:6" ht="15" customHeight="1" x14ac:dyDescent="0.2">
      <c r="D35" s="3"/>
      <c r="E35" s="3"/>
      <c r="F35" s="3"/>
    </row>
    <row r="36" spans="2:6" ht="15" customHeight="1" x14ac:dyDescent="0.2">
      <c r="E36" s="3"/>
    </row>
    <row r="38" spans="2:6" ht="15" customHeight="1" x14ac:dyDescent="0.2">
      <c r="E38" s="3"/>
    </row>
    <row r="44" spans="2:6" ht="15" customHeight="1" x14ac:dyDescent="0.2">
      <c r="B44" s="25"/>
    </row>
  </sheetData>
  <mergeCells count="4">
    <mergeCell ref="B1:C1"/>
    <mergeCell ref="C5:D5"/>
    <mergeCell ref="C25:D25"/>
    <mergeCell ref="B2:F2"/>
  </mergeCells>
  <phoneticPr fontId="0" type="noConversion"/>
  <printOptions horizontalCentered="1" verticalCentered="1"/>
  <pageMargins left="0.59055118110236227" right="0.59055118110236227" top="0.59055118110236227" bottom="0.39370078740157483" header="0.31496062992125984" footer="0.31496062992125984"/>
  <pageSetup paperSize="9" scale="70" orientation="portrait" r:id="rId1"/>
  <headerFooter alignWithMargins="0">
    <oddHeader xml:space="preserve">&amp;R&amp;"-,Félkövér"&amp;11 11. melléklet a 13/2023. (V.26.) önkormányzati rendelethez 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19"/>
  <dimension ref="A1:F47"/>
  <sheetViews>
    <sheetView view="pageLayout" topLeftCell="A111" zoomScaleNormal="100" workbookViewId="0">
      <selection activeCell="D131" sqref="D131"/>
    </sheetView>
  </sheetViews>
  <sheetFormatPr defaultColWidth="9.33203125" defaultRowHeight="15" customHeight="1" x14ac:dyDescent="0.2"/>
  <cols>
    <col min="1" max="1" width="12" style="10" customWidth="1"/>
    <col min="2" max="2" width="88.33203125" style="1" customWidth="1"/>
    <col min="3" max="3" width="20.33203125" style="1" customWidth="1"/>
    <col min="4" max="4" width="20.33203125" style="3" customWidth="1"/>
    <col min="5" max="5" width="20.6640625" style="3" customWidth="1"/>
    <col min="6" max="6" width="22.33203125" style="1" customWidth="1"/>
    <col min="7" max="16384" width="9.33203125" style="1"/>
  </cols>
  <sheetData>
    <row r="1" spans="1:6" s="58" customFormat="1" ht="15" customHeight="1" x14ac:dyDescent="0.25">
      <c r="A1" s="152"/>
      <c r="B1" s="2006"/>
      <c r="C1" s="2006"/>
      <c r="D1" s="152"/>
      <c r="E1" s="152"/>
    </row>
    <row r="2" spans="1:6" s="58" customFormat="1" ht="30.75" customHeight="1" x14ac:dyDescent="0.3">
      <c r="A2" s="152"/>
      <c r="B2" s="2070" t="s">
        <v>390</v>
      </c>
      <c r="C2" s="2070"/>
      <c r="D2" s="2070"/>
      <c r="E2" s="2070"/>
      <c r="F2" s="2070"/>
    </row>
    <row r="3" spans="1:6" s="58" customFormat="1" ht="15" customHeight="1" x14ac:dyDescent="0.3">
      <c r="A3" s="152"/>
      <c r="B3" s="962"/>
      <c r="C3" s="962"/>
      <c r="D3" s="447"/>
      <c r="E3" s="447"/>
      <c r="F3" s="962"/>
    </row>
    <row r="4" spans="1:6" s="58" customFormat="1" ht="24" customHeight="1" thickBot="1" x14ac:dyDescent="0.35">
      <c r="A4" s="152"/>
      <c r="B4" s="1427" t="s">
        <v>148</v>
      </c>
      <c r="C4" s="1450"/>
      <c r="D4" s="1451"/>
      <c r="E4" s="1451"/>
      <c r="F4" s="1017" t="s">
        <v>17</v>
      </c>
    </row>
    <row r="5" spans="1:6" s="58" customFormat="1" ht="24.75" customHeight="1" x14ac:dyDescent="0.3">
      <c r="A5" s="152"/>
      <c r="B5" s="930" t="s">
        <v>57</v>
      </c>
      <c r="C5" s="2076" t="s">
        <v>515</v>
      </c>
      <c r="D5" s="2077"/>
      <c r="E5" s="271" t="s">
        <v>340</v>
      </c>
      <c r="F5" s="443" t="s">
        <v>100</v>
      </c>
    </row>
    <row r="6" spans="1:6" s="58" customFormat="1" ht="24.75" customHeight="1" thickBot="1" x14ac:dyDescent="0.35">
      <c r="A6" s="152"/>
      <c r="B6" s="1452"/>
      <c r="C6" s="362" t="s">
        <v>202</v>
      </c>
      <c r="D6" s="460" t="s">
        <v>98</v>
      </c>
      <c r="E6" s="363" t="s">
        <v>99</v>
      </c>
      <c r="F6" s="364" t="s">
        <v>101</v>
      </c>
    </row>
    <row r="7" spans="1:6" s="58" customFormat="1" ht="40.5" customHeight="1" x14ac:dyDescent="0.3">
      <c r="A7" s="152"/>
      <c r="B7" s="1671" t="s">
        <v>1281</v>
      </c>
      <c r="C7" s="366">
        <v>1109545</v>
      </c>
      <c r="D7" s="366"/>
      <c r="E7" s="369"/>
      <c r="F7" s="431"/>
    </row>
    <row r="8" spans="1:6" s="58" customFormat="1" ht="18.75" x14ac:dyDescent="0.3">
      <c r="A8" s="152"/>
      <c r="B8" s="1672" t="s">
        <v>1282</v>
      </c>
      <c r="C8" s="369">
        <v>61606</v>
      </c>
      <c r="D8" s="369"/>
      <c r="E8" s="369"/>
      <c r="F8" s="432"/>
    </row>
    <row r="9" spans="1:6" s="58" customFormat="1" ht="19.5" thickBot="1" x14ac:dyDescent="0.35">
      <c r="B9" s="1673" t="s">
        <v>1283</v>
      </c>
      <c r="C9" s="433"/>
      <c r="D9" s="433"/>
      <c r="E9" s="433"/>
      <c r="F9" s="431"/>
    </row>
    <row r="10" spans="1:6" s="58" customFormat="1" ht="24.75" customHeight="1" thickBot="1" x14ac:dyDescent="0.35">
      <c r="A10" s="152"/>
      <c r="B10" s="1527" t="s">
        <v>154</v>
      </c>
      <c r="C10" s="449">
        <f>SUM(C7:C9)</f>
        <v>1171151</v>
      </c>
      <c r="D10" s="278">
        <v>1223609</v>
      </c>
      <c r="E10" s="278">
        <v>1215025</v>
      </c>
      <c r="F10" s="379">
        <f t="shared" ref="F10" si="0">+E10/D10*100</f>
        <v>99.29846871018438</v>
      </c>
    </row>
    <row r="11" spans="1:6" s="58" customFormat="1" ht="24.75" customHeight="1" x14ac:dyDescent="0.3">
      <c r="A11" s="152"/>
      <c r="B11" s="1674" t="s">
        <v>14</v>
      </c>
      <c r="C11" s="369">
        <v>300</v>
      </c>
      <c r="D11" s="369">
        <v>300</v>
      </c>
      <c r="E11" s="369"/>
      <c r="F11" s="432">
        <f t="shared" ref="F11:F15" si="1">+E11/D11*100</f>
        <v>0</v>
      </c>
    </row>
    <row r="12" spans="1:6" s="58" customFormat="1" ht="24.75" customHeight="1" x14ac:dyDescent="0.3">
      <c r="A12" s="152"/>
      <c r="B12" s="1521" t="s">
        <v>53</v>
      </c>
      <c r="C12" s="284">
        <v>241</v>
      </c>
      <c r="D12" s="284">
        <v>241</v>
      </c>
      <c r="E12" s="284">
        <v>226</v>
      </c>
      <c r="F12" s="274">
        <f t="shared" si="1"/>
        <v>93.7759336099585</v>
      </c>
    </row>
    <row r="13" spans="1:6" s="58" customFormat="1" ht="58.5" customHeight="1" thickBot="1" x14ac:dyDescent="0.35">
      <c r="A13" s="152"/>
      <c r="B13" s="1662" t="s">
        <v>125</v>
      </c>
      <c r="C13" s="377">
        <v>3000</v>
      </c>
      <c r="D13" s="377">
        <v>3000</v>
      </c>
      <c r="E13" s="377">
        <v>3000</v>
      </c>
      <c r="F13" s="372">
        <f t="shared" si="1"/>
        <v>100</v>
      </c>
    </row>
    <row r="14" spans="1:6" s="58" customFormat="1" ht="24.75" customHeight="1" thickBot="1" x14ac:dyDescent="0.35">
      <c r="A14" s="152"/>
      <c r="B14" s="1527" t="s">
        <v>150</v>
      </c>
      <c r="C14" s="449">
        <f>SUM(C11:C13)</f>
        <v>3541</v>
      </c>
      <c r="D14" s="278">
        <f>SUM(D11:D13)</f>
        <v>3541</v>
      </c>
      <c r="E14" s="449">
        <f>SUM(E11:E13)</f>
        <v>3226</v>
      </c>
      <c r="F14" s="379">
        <f t="shared" si="1"/>
        <v>91.10420785088958</v>
      </c>
    </row>
    <row r="15" spans="1:6" s="58" customFormat="1" ht="24" customHeight="1" thickBot="1" x14ac:dyDescent="0.35">
      <c r="A15" s="152"/>
      <c r="B15" s="1664" t="s">
        <v>360</v>
      </c>
      <c r="C15" s="450">
        <f>+C10+C14</f>
        <v>1174692</v>
      </c>
      <c r="D15" s="286">
        <f>+D10+D14</f>
        <v>1227150</v>
      </c>
      <c r="E15" s="450">
        <f>+E10+E14</f>
        <v>1218251</v>
      </c>
      <c r="F15" s="379">
        <f t="shared" si="1"/>
        <v>99.274823778674161</v>
      </c>
    </row>
    <row r="16" spans="1:6" s="58" customFormat="1" ht="20.100000000000001" customHeight="1" x14ac:dyDescent="0.3">
      <c r="A16" s="152"/>
      <c r="B16" s="1522"/>
      <c r="C16" s="337"/>
      <c r="D16" s="337"/>
      <c r="E16" s="337"/>
      <c r="F16" s="1453"/>
    </row>
    <row r="17" spans="1:6" s="58" customFormat="1" ht="24.75" customHeight="1" thickBot="1" x14ac:dyDescent="0.35">
      <c r="A17" s="152"/>
      <c r="B17" s="1675" t="s">
        <v>18</v>
      </c>
      <c r="C17" s="337"/>
      <c r="D17" s="337"/>
      <c r="E17" s="337"/>
      <c r="F17" s="1453"/>
    </row>
    <row r="18" spans="1:6" s="58" customFormat="1" ht="24.75" customHeight="1" x14ac:dyDescent="0.3">
      <c r="A18" s="152"/>
      <c r="B18" s="1676" t="s">
        <v>31</v>
      </c>
      <c r="C18" s="2076" t="s">
        <v>515</v>
      </c>
      <c r="D18" s="2077"/>
      <c r="E18" s="271" t="s">
        <v>340</v>
      </c>
      <c r="F18" s="443" t="s">
        <v>100</v>
      </c>
    </row>
    <row r="19" spans="1:6" s="58" customFormat="1" ht="24.75" customHeight="1" thickBot="1" x14ac:dyDescent="0.35">
      <c r="A19" s="152"/>
      <c r="B19" s="1677"/>
      <c r="C19" s="389" t="s">
        <v>202</v>
      </c>
      <c r="D19" s="460" t="s">
        <v>98</v>
      </c>
      <c r="E19" s="461" t="s">
        <v>99</v>
      </c>
      <c r="F19" s="364" t="s">
        <v>101</v>
      </c>
    </row>
    <row r="20" spans="1:6" s="58" customFormat="1" ht="32.25" x14ac:dyDescent="0.3">
      <c r="A20" s="152"/>
      <c r="B20" s="1654" t="s">
        <v>1281</v>
      </c>
      <c r="C20" s="365"/>
      <c r="D20" s="366"/>
      <c r="E20" s="462"/>
      <c r="F20" s="463"/>
    </row>
    <row r="21" spans="1:6" s="58" customFormat="1" ht="18.75" x14ac:dyDescent="0.3">
      <c r="A21" s="152"/>
      <c r="B21" s="1655" t="s">
        <v>1282</v>
      </c>
      <c r="C21" s="368"/>
      <c r="D21" s="369"/>
      <c r="E21" s="464"/>
      <c r="F21" s="432"/>
    </row>
    <row r="22" spans="1:6" s="58" customFormat="1" ht="19.5" thickBot="1" x14ac:dyDescent="0.35">
      <c r="A22" s="152"/>
      <c r="B22" s="1678" t="s">
        <v>1283</v>
      </c>
      <c r="C22" s="436"/>
      <c r="D22" s="433"/>
      <c r="E22" s="465"/>
      <c r="F22" s="431"/>
    </row>
    <row r="23" spans="1:6" s="58" customFormat="1" ht="24.75" customHeight="1" thickBot="1" x14ac:dyDescent="0.35">
      <c r="A23" s="152"/>
      <c r="B23" s="1527" t="s">
        <v>361</v>
      </c>
      <c r="C23" s="449">
        <f>SUM(C20:C22)</f>
        <v>0</v>
      </c>
      <c r="D23" s="449">
        <v>38521</v>
      </c>
      <c r="E23" s="449">
        <v>29502</v>
      </c>
      <c r="F23" s="387">
        <f t="shared" ref="F23" si="2">+E23/D23*100</f>
        <v>76.586796812128455</v>
      </c>
    </row>
    <row r="24" spans="1:6" s="58" customFormat="1" ht="24.75" customHeight="1" thickBot="1" x14ac:dyDescent="0.35">
      <c r="A24" s="152"/>
      <c r="B24" s="1524"/>
      <c r="C24" s="337"/>
      <c r="D24" s="337"/>
      <c r="E24" s="458"/>
      <c r="F24" s="285"/>
    </row>
    <row r="25" spans="1:6" s="58" customFormat="1" ht="24.75" customHeight="1" thickBot="1" x14ac:dyDescent="0.35">
      <c r="A25" s="152"/>
      <c r="B25" s="1527" t="s">
        <v>362</v>
      </c>
      <c r="C25" s="332">
        <f>C15+C23</f>
        <v>1174692</v>
      </c>
      <c r="D25" s="386">
        <f>D15+D23</f>
        <v>1265671</v>
      </c>
      <c r="E25" s="386">
        <f>E15+E23</f>
        <v>1247753</v>
      </c>
      <c r="F25" s="387">
        <f>+E25/D25*100</f>
        <v>98.584308244401583</v>
      </c>
    </row>
    <row r="28" spans="1:6" ht="15" customHeight="1" x14ac:dyDescent="0.2">
      <c r="B28" s="7"/>
    </row>
    <row r="47" spans="2:2" ht="15" customHeight="1" x14ac:dyDescent="0.2">
      <c r="B47" s="28"/>
    </row>
  </sheetData>
  <mergeCells count="4">
    <mergeCell ref="B1:C1"/>
    <mergeCell ref="C5:D5"/>
    <mergeCell ref="C18:D18"/>
    <mergeCell ref="B2:F2"/>
  </mergeCells>
  <phoneticPr fontId="0" type="noConversion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70" orientation="portrait" r:id="rId1"/>
  <headerFooter alignWithMargins="0">
    <oddHeader xml:space="preserve">&amp;R&amp;"Calibri,Félkövér"&amp;11 12. melléklet a 13/2023. (V.26.) önkormányzati rendelethez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20"/>
  <dimension ref="A1:L112"/>
  <sheetViews>
    <sheetView view="pageBreakPreview" topLeftCell="A49" zoomScaleNormal="100" zoomScaleSheetLayoutView="100" workbookViewId="0">
      <selection activeCell="H74" sqref="H74"/>
    </sheetView>
  </sheetViews>
  <sheetFormatPr defaultColWidth="9.33203125" defaultRowHeight="15" customHeight="1" x14ac:dyDescent="0.2"/>
  <cols>
    <col min="1" max="1" width="14" style="10" customWidth="1"/>
    <col min="2" max="2" width="115.6640625" style="1" customWidth="1"/>
    <col min="3" max="3" width="26.83203125" style="1" customWidth="1"/>
    <col min="4" max="5" width="26.83203125" style="3" customWidth="1"/>
    <col min="6" max="6" width="26.83203125" style="1" customWidth="1"/>
    <col min="7" max="7" width="32.1640625" style="1" bestFit="1" customWidth="1"/>
    <col min="8" max="8" width="9.33203125" style="1"/>
    <col min="9" max="9" width="17.33203125" style="1" customWidth="1"/>
    <col min="10" max="10" width="21.83203125" style="1" customWidth="1"/>
    <col min="11" max="11" width="11" style="1" bestFit="1" customWidth="1"/>
    <col min="12" max="12" width="19.6640625" style="1" customWidth="1"/>
    <col min="13" max="16384" width="9.33203125" style="1"/>
  </cols>
  <sheetData>
    <row r="1" spans="1:6" ht="8.25" customHeight="1" x14ac:dyDescent="0.25">
      <c r="B1" s="2078"/>
      <c r="C1" s="2078"/>
    </row>
    <row r="2" spans="1:6" s="58" customFormat="1" ht="33" customHeight="1" x14ac:dyDescent="0.3">
      <c r="A2" s="152"/>
      <c r="B2" s="2070" t="s">
        <v>213</v>
      </c>
      <c r="C2" s="2070"/>
      <c r="D2" s="2070"/>
      <c r="E2" s="2070"/>
      <c r="F2" s="2070"/>
    </row>
    <row r="3" spans="1:6" s="58" customFormat="1" ht="29.25" customHeight="1" thickBot="1" x14ac:dyDescent="0.3">
      <c r="A3" s="152"/>
      <c r="C3" s="155"/>
      <c r="D3" s="61"/>
      <c r="E3" s="61"/>
      <c r="F3" s="201" t="s">
        <v>17</v>
      </c>
    </row>
    <row r="4" spans="1:6" s="58" customFormat="1" ht="23.25" customHeight="1" x14ac:dyDescent="0.3">
      <c r="A4" s="152"/>
      <c r="B4" s="930" t="s">
        <v>31</v>
      </c>
      <c r="C4" s="2079" t="s">
        <v>515</v>
      </c>
      <c r="D4" s="2071"/>
      <c r="E4" s="271" t="s">
        <v>340</v>
      </c>
      <c r="F4" s="443" t="s">
        <v>100</v>
      </c>
    </row>
    <row r="5" spans="1:6" s="58" customFormat="1" ht="23.25" customHeight="1" thickBot="1" x14ac:dyDescent="0.35">
      <c r="A5" s="152"/>
      <c r="B5" s="931"/>
      <c r="C5" s="388" t="s">
        <v>202</v>
      </c>
      <c r="D5" s="466" t="s">
        <v>98</v>
      </c>
      <c r="E5" s="363" t="s">
        <v>99</v>
      </c>
      <c r="F5" s="364" t="s">
        <v>101</v>
      </c>
    </row>
    <row r="6" spans="1:6" s="58" customFormat="1" ht="23.25" customHeight="1" x14ac:dyDescent="0.3">
      <c r="A6" s="152"/>
      <c r="B6" s="932" t="s">
        <v>530</v>
      </c>
      <c r="C6" s="467"/>
      <c r="D6" s="467"/>
      <c r="E6" s="467"/>
      <c r="F6" s="266"/>
    </row>
    <row r="7" spans="1:6" s="58" customFormat="1" ht="23.25" customHeight="1" thickBot="1" x14ac:dyDescent="0.35">
      <c r="A7" s="152"/>
      <c r="B7" s="933" t="s">
        <v>531</v>
      </c>
      <c r="C7" s="265">
        <v>141150</v>
      </c>
      <c r="D7" s="265"/>
      <c r="E7" s="377"/>
      <c r="F7" s="468"/>
    </row>
    <row r="8" spans="1:6" s="58" customFormat="1" ht="23.25" customHeight="1" thickBot="1" x14ac:dyDescent="0.35">
      <c r="A8" s="152"/>
      <c r="B8" s="934" t="s">
        <v>532</v>
      </c>
      <c r="C8" s="469">
        <f>SUM(C6:C7)</f>
        <v>141150</v>
      </c>
      <c r="D8" s="469">
        <v>149311</v>
      </c>
      <c r="E8" s="547">
        <v>144484</v>
      </c>
      <c r="F8" s="470">
        <f t="shared" ref="F8:F10" si="0">+E8/D8*100</f>
        <v>96.767150444374494</v>
      </c>
    </row>
    <row r="9" spans="1:6" s="58" customFormat="1" ht="23.25" customHeight="1" x14ac:dyDescent="0.3">
      <c r="A9" s="152"/>
      <c r="B9" s="935" t="s">
        <v>46</v>
      </c>
      <c r="C9" s="282">
        <v>2266042</v>
      </c>
      <c r="D9" s="282">
        <v>2512164</v>
      </c>
      <c r="E9" s="376">
        <v>2270047</v>
      </c>
      <c r="F9" s="372">
        <f t="shared" si="0"/>
        <v>90.362213613442435</v>
      </c>
    </row>
    <row r="10" spans="1:6" s="58" customFormat="1" ht="23.25" customHeight="1" thickBot="1" x14ac:dyDescent="0.35">
      <c r="A10" s="152"/>
      <c r="B10" s="936" t="s">
        <v>386</v>
      </c>
      <c r="C10" s="269">
        <f>+C8+C9</f>
        <v>2407192</v>
      </c>
      <c r="D10" s="269">
        <f t="shared" ref="D10:E10" si="1">+D8+D9</f>
        <v>2661475</v>
      </c>
      <c r="E10" s="269">
        <f t="shared" si="1"/>
        <v>2414531</v>
      </c>
      <c r="F10" s="374">
        <f t="shared" si="0"/>
        <v>90.72153599038127</v>
      </c>
    </row>
    <row r="11" spans="1:6" s="58" customFormat="1" ht="23.25" customHeight="1" x14ac:dyDescent="0.3">
      <c r="A11" s="152"/>
      <c r="B11" s="937" t="s">
        <v>208</v>
      </c>
      <c r="C11" s="280"/>
      <c r="D11" s="434"/>
      <c r="E11" s="434"/>
      <c r="F11" s="471"/>
    </row>
    <row r="12" spans="1:6" s="58" customFormat="1" ht="23.25" customHeight="1" x14ac:dyDescent="0.3">
      <c r="A12" s="152"/>
      <c r="B12" s="938" t="s">
        <v>8</v>
      </c>
      <c r="C12" s="375">
        <v>250000</v>
      </c>
      <c r="D12" s="375">
        <v>271916</v>
      </c>
      <c r="E12" s="433">
        <v>575561</v>
      </c>
      <c r="F12" s="472">
        <f t="shared" ref="F12:F17" si="2">+E12/D12*100</f>
        <v>211.6686770914547</v>
      </c>
    </row>
    <row r="13" spans="1:6" s="58" customFormat="1" ht="23.25" customHeight="1" x14ac:dyDescent="0.3">
      <c r="A13" s="153"/>
      <c r="B13" s="939" t="s">
        <v>209</v>
      </c>
      <c r="C13" s="369">
        <v>700000</v>
      </c>
      <c r="D13" s="369">
        <v>700000</v>
      </c>
      <c r="E13" s="369">
        <v>918610</v>
      </c>
      <c r="F13" s="432">
        <f t="shared" si="2"/>
        <v>131.22999999999999</v>
      </c>
    </row>
    <row r="14" spans="1:6" s="58" customFormat="1" ht="23.25" customHeight="1" x14ac:dyDescent="0.3">
      <c r="A14" s="153"/>
      <c r="B14" s="939" t="s">
        <v>366</v>
      </c>
      <c r="C14" s="369">
        <v>160000</v>
      </c>
      <c r="D14" s="369">
        <v>160000</v>
      </c>
      <c r="E14" s="368"/>
      <c r="F14" s="432">
        <f t="shared" si="2"/>
        <v>0</v>
      </c>
    </row>
    <row r="15" spans="1:6" s="58" customFormat="1" ht="23.25" customHeight="1" x14ac:dyDescent="0.3">
      <c r="A15" s="152"/>
      <c r="B15" s="939" t="s">
        <v>173</v>
      </c>
      <c r="C15" s="369"/>
      <c r="D15" s="369">
        <v>16794</v>
      </c>
      <c r="E15" s="369">
        <v>16794</v>
      </c>
      <c r="F15" s="432">
        <f t="shared" si="2"/>
        <v>100</v>
      </c>
    </row>
    <row r="16" spans="1:6" s="58" customFormat="1" ht="23.25" customHeight="1" x14ac:dyDescent="0.3">
      <c r="A16" s="152"/>
      <c r="B16" s="939" t="s">
        <v>346</v>
      </c>
      <c r="C16" s="369"/>
      <c r="D16" s="369">
        <v>147643</v>
      </c>
      <c r="E16" s="369">
        <v>147643</v>
      </c>
      <c r="F16" s="432">
        <f t="shared" si="2"/>
        <v>100</v>
      </c>
    </row>
    <row r="17" spans="1:6" s="58" customFormat="1" ht="23.25" customHeight="1" x14ac:dyDescent="0.3">
      <c r="A17" s="152"/>
      <c r="B17" s="939" t="s">
        <v>6</v>
      </c>
      <c r="C17" s="369">
        <v>245867</v>
      </c>
      <c r="D17" s="369">
        <v>245867</v>
      </c>
      <c r="E17" s="369">
        <v>245867</v>
      </c>
      <c r="F17" s="432">
        <f t="shared" si="2"/>
        <v>100</v>
      </c>
    </row>
    <row r="18" spans="1:6" s="58" customFormat="1" ht="23.25" customHeight="1" x14ac:dyDescent="0.3">
      <c r="A18" s="152"/>
      <c r="B18" s="940" t="s">
        <v>87</v>
      </c>
      <c r="C18" s="473">
        <f>SUM(C12:C17)</f>
        <v>1355867</v>
      </c>
      <c r="D18" s="474">
        <f>SUM(D12:D17)</f>
        <v>1542220</v>
      </c>
      <c r="E18" s="474">
        <f>SUM(E12:E17)</f>
        <v>1904475</v>
      </c>
      <c r="F18" s="475">
        <f t="shared" ref="F18" si="3">+E18/D18*100</f>
        <v>123.48919090661514</v>
      </c>
    </row>
    <row r="19" spans="1:6" s="58" customFormat="1" ht="23.25" customHeight="1" x14ac:dyDescent="0.3">
      <c r="A19" s="152"/>
      <c r="B19" s="941" t="s">
        <v>28</v>
      </c>
      <c r="C19" s="265"/>
      <c r="D19" s="265"/>
      <c r="E19" s="265"/>
      <c r="F19" s="476"/>
    </row>
    <row r="20" spans="1:6" s="58" customFormat="1" ht="23.25" customHeight="1" x14ac:dyDescent="0.3">
      <c r="A20" s="152"/>
      <c r="B20" s="939" t="s">
        <v>395</v>
      </c>
      <c r="C20" s="369">
        <v>66000</v>
      </c>
      <c r="D20" s="369">
        <v>105373</v>
      </c>
      <c r="E20" s="477">
        <v>105373</v>
      </c>
      <c r="F20" s="478">
        <f t="shared" ref="F20:F30" si="4">+E20/D20*100</f>
        <v>100</v>
      </c>
    </row>
    <row r="21" spans="1:6" s="58" customFormat="1" ht="23.25" customHeight="1" x14ac:dyDescent="0.3">
      <c r="A21" s="152"/>
      <c r="B21" s="942" t="s">
        <v>394</v>
      </c>
      <c r="C21" s="433">
        <v>50000</v>
      </c>
      <c r="D21" s="433">
        <v>46063</v>
      </c>
      <c r="E21" s="479">
        <v>39342</v>
      </c>
      <c r="F21" s="478">
        <f t="shared" si="4"/>
        <v>85.409113605279728</v>
      </c>
    </row>
    <row r="22" spans="1:6" s="58" customFormat="1" ht="23.25" customHeight="1" x14ac:dyDescent="0.3">
      <c r="A22" s="152"/>
      <c r="B22" s="943" t="s">
        <v>252</v>
      </c>
      <c r="C22" s="267">
        <v>17500</v>
      </c>
      <c r="D22" s="267">
        <v>19184</v>
      </c>
      <c r="E22" s="480">
        <v>16173</v>
      </c>
      <c r="F22" s="481">
        <f t="shared" si="4"/>
        <v>84.304628857381147</v>
      </c>
    </row>
    <row r="23" spans="1:6" s="58" customFormat="1" ht="23.25" customHeight="1" x14ac:dyDescent="0.3">
      <c r="A23" s="152"/>
      <c r="B23" s="942" t="s">
        <v>9</v>
      </c>
      <c r="C23" s="433">
        <v>12000</v>
      </c>
      <c r="D23" s="433">
        <v>13232</v>
      </c>
      <c r="E23" s="479">
        <v>11606</v>
      </c>
      <c r="F23" s="478">
        <f t="shared" si="4"/>
        <v>87.711608222490938</v>
      </c>
    </row>
    <row r="24" spans="1:6" s="58" customFormat="1" ht="23.25" customHeight="1" x14ac:dyDescent="0.3">
      <c r="A24" s="152"/>
      <c r="B24" s="944" t="s">
        <v>132</v>
      </c>
      <c r="C24" s="267">
        <v>4000</v>
      </c>
      <c r="D24" s="267">
        <v>4209</v>
      </c>
      <c r="E24" s="480">
        <v>2515</v>
      </c>
      <c r="F24" s="482">
        <f t="shared" si="4"/>
        <v>59.75291043003088</v>
      </c>
    </row>
    <row r="25" spans="1:6" s="58" customFormat="1" ht="23.25" customHeight="1" x14ac:dyDescent="0.3">
      <c r="A25" s="152"/>
      <c r="B25" s="944" t="s">
        <v>95</v>
      </c>
      <c r="C25" s="267">
        <v>1000</v>
      </c>
      <c r="D25" s="267">
        <v>1000</v>
      </c>
      <c r="E25" s="480">
        <v>636</v>
      </c>
      <c r="F25" s="482">
        <f t="shared" si="4"/>
        <v>63.6</v>
      </c>
    </row>
    <row r="26" spans="1:6" s="58" customFormat="1" ht="23.25" customHeight="1" x14ac:dyDescent="0.3">
      <c r="A26" s="152"/>
      <c r="B26" s="945" t="s">
        <v>243</v>
      </c>
      <c r="C26" s="375">
        <v>13040</v>
      </c>
      <c r="D26" s="375">
        <v>13305</v>
      </c>
      <c r="E26" s="483">
        <v>13305</v>
      </c>
      <c r="F26" s="478">
        <f t="shared" si="4"/>
        <v>100</v>
      </c>
    </row>
    <row r="27" spans="1:6" s="58" customFormat="1" ht="23.25" customHeight="1" x14ac:dyDescent="0.3">
      <c r="A27" s="152"/>
      <c r="B27" s="946" t="s">
        <v>534</v>
      </c>
      <c r="C27" s="282">
        <v>1200</v>
      </c>
      <c r="D27" s="282">
        <v>1200</v>
      </c>
      <c r="E27" s="484">
        <v>1200</v>
      </c>
      <c r="F27" s="482">
        <f t="shared" si="4"/>
        <v>100</v>
      </c>
    </row>
    <row r="28" spans="1:6" s="58" customFormat="1" ht="23.25" customHeight="1" x14ac:dyDescent="0.3">
      <c r="A28" s="152"/>
      <c r="B28" s="946" t="s">
        <v>574</v>
      </c>
      <c r="C28" s="282"/>
      <c r="D28" s="282">
        <v>1500</v>
      </c>
      <c r="E28" s="484"/>
      <c r="F28" s="482">
        <f t="shared" si="4"/>
        <v>0</v>
      </c>
    </row>
    <row r="29" spans="1:6" s="58" customFormat="1" ht="23.25" customHeight="1" x14ac:dyDescent="0.3">
      <c r="A29" s="152"/>
      <c r="B29" s="935" t="s">
        <v>211</v>
      </c>
      <c r="C29" s="282">
        <v>3154</v>
      </c>
      <c r="D29" s="282">
        <v>3654</v>
      </c>
      <c r="E29" s="484">
        <v>3638</v>
      </c>
      <c r="F29" s="482">
        <f t="shared" si="4"/>
        <v>99.562123700054741</v>
      </c>
    </row>
    <row r="30" spans="1:6" s="58" customFormat="1" ht="23.25" customHeight="1" x14ac:dyDescent="0.3">
      <c r="A30" s="152"/>
      <c r="B30" s="944" t="s">
        <v>210</v>
      </c>
      <c r="C30" s="267">
        <v>4200</v>
      </c>
      <c r="D30" s="267">
        <v>4200</v>
      </c>
      <c r="E30" s="480">
        <v>3727</v>
      </c>
      <c r="F30" s="482">
        <f t="shared" si="4"/>
        <v>88.738095238095241</v>
      </c>
    </row>
    <row r="31" spans="1:6" s="58" customFormat="1" ht="23.25" customHeight="1" x14ac:dyDescent="0.3">
      <c r="A31" s="152"/>
      <c r="B31" s="944" t="s">
        <v>207</v>
      </c>
      <c r="C31" s="267">
        <v>10000</v>
      </c>
      <c r="D31" s="267">
        <v>15689</v>
      </c>
      <c r="E31" s="480">
        <v>14290</v>
      </c>
      <c r="F31" s="482">
        <f>+E31/D31*100</f>
        <v>91.082924341895605</v>
      </c>
    </row>
    <row r="32" spans="1:6" s="58" customFormat="1" ht="23.25" customHeight="1" x14ac:dyDescent="0.3">
      <c r="A32" s="152"/>
      <c r="B32" s="947" t="s">
        <v>569</v>
      </c>
      <c r="C32" s="267"/>
      <c r="D32" s="267">
        <v>920</v>
      </c>
      <c r="E32" s="561">
        <v>920</v>
      </c>
      <c r="F32" s="562">
        <f>+E32/D32*100</f>
        <v>100</v>
      </c>
    </row>
    <row r="33" spans="1:6" s="58" customFormat="1" ht="23.25" customHeight="1" x14ac:dyDescent="0.3">
      <c r="A33" s="152"/>
      <c r="B33" s="944" t="s">
        <v>533</v>
      </c>
      <c r="C33" s="267">
        <v>2000</v>
      </c>
      <c r="D33" s="267">
        <v>2000</v>
      </c>
      <c r="E33" s="485">
        <v>212</v>
      </c>
      <c r="F33" s="482">
        <f t="shared" ref="F33:F36" si="5">+E33/D33*100</f>
        <v>10.6</v>
      </c>
    </row>
    <row r="34" spans="1:6" s="58" customFormat="1" ht="23.25" customHeight="1" x14ac:dyDescent="0.3">
      <c r="A34" s="152"/>
      <c r="B34" s="944" t="s">
        <v>535</v>
      </c>
      <c r="C34" s="267">
        <v>2000</v>
      </c>
      <c r="D34" s="267">
        <v>2000</v>
      </c>
      <c r="E34" s="485">
        <v>1997</v>
      </c>
      <c r="F34" s="482">
        <f t="shared" si="5"/>
        <v>99.850000000000009</v>
      </c>
    </row>
    <row r="35" spans="1:6" s="58" customFormat="1" ht="23.25" customHeight="1" x14ac:dyDescent="0.3">
      <c r="A35" s="152"/>
      <c r="B35" s="944" t="s">
        <v>536</v>
      </c>
      <c r="C35" s="267">
        <v>1155474</v>
      </c>
      <c r="D35" s="267">
        <v>1167175</v>
      </c>
      <c r="E35" s="485">
        <v>1167175</v>
      </c>
      <c r="F35" s="482">
        <f t="shared" si="5"/>
        <v>100</v>
      </c>
    </row>
    <row r="36" spans="1:6" s="58" customFormat="1" ht="43.5" customHeight="1" x14ac:dyDescent="0.3">
      <c r="A36" s="152"/>
      <c r="B36" s="948" t="s">
        <v>468</v>
      </c>
      <c r="C36" s="267">
        <v>1490</v>
      </c>
      <c r="D36" s="267">
        <v>1490</v>
      </c>
      <c r="E36" s="486">
        <v>1490</v>
      </c>
      <c r="F36" s="482">
        <f t="shared" si="5"/>
        <v>100</v>
      </c>
    </row>
    <row r="37" spans="1:6" s="58" customFormat="1" ht="43.5" customHeight="1" x14ac:dyDescent="0.3">
      <c r="A37" s="152"/>
      <c r="B37" s="948" t="s">
        <v>605</v>
      </c>
      <c r="C37" s="267"/>
      <c r="D37" s="267">
        <v>481465</v>
      </c>
      <c r="E37" s="486">
        <v>481465</v>
      </c>
      <c r="F37" s="482">
        <f t="shared" ref="F37" si="6">+E37/D37*100</f>
        <v>100</v>
      </c>
    </row>
    <row r="38" spans="1:6" s="58" customFormat="1" ht="43.5" customHeight="1" x14ac:dyDescent="0.3">
      <c r="A38" s="152"/>
      <c r="B38" s="948" t="s">
        <v>343</v>
      </c>
      <c r="C38" s="267">
        <v>208926</v>
      </c>
      <c r="D38" s="267">
        <v>217902</v>
      </c>
      <c r="E38" s="486">
        <f>18757+51009+107044+39422</f>
        <v>216232</v>
      </c>
      <c r="F38" s="482">
        <f>+E38/D38*100</f>
        <v>99.233600425879516</v>
      </c>
    </row>
    <row r="39" spans="1:6" s="58" customFormat="1" ht="23.25" customHeight="1" x14ac:dyDescent="0.3">
      <c r="A39" s="152"/>
      <c r="B39" s="947" t="s">
        <v>296</v>
      </c>
      <c r="C39" s="441">
        <v>2679640</v>
      </c>
      <c r="D39" s="441">
        <v>2679640</v>
      </c>
      <c r="E39" s="486">
        <v>2679640</v>
      </c>
      <c r="F39" s="487">
        <f>+E39/D39*100</f>
        <v>100</v>
      </c>
    </row>
    <row r="40" spans="1:6" s="58" customFormat="1" ht="23.25" customHeight="1" x14ac:dyDescent="0.3">
      <c r="A40" s="152"/>
      <c r="B40" s="947" t="s">
        <v>537</v>
      </c>
      <c r="C40" s="441">
        <v>19842</v>
      </c>
      <c r="D40" s="441">
        <v>0</v>
      </c>
      <c r="E40" s="485"/>
      <c r="F40" s="487"/>
    </row>
    <row r="41" spans="1:6" s="58" customFormat="1" ht="23.25" customHeight="1" x14ac:dyDescent="0.3">
      <c r="A41" s="152"/>
      <c r="B41" s="947" t="s">
        <v>617</v>
      </c>
      <c r="C41" s="441"/>
      <c r="D41" s="441">
        <v>1000</v>
      </c>
      <c r="E41" s="485">
        <v>1000</v>
      </c>
      <c r="F41" s="487">
        <f t="shared" ref="F41:F46" si="7">+E41/D41*100</f>
        <v>100</v>
      </c>
    </row>
    <row r="42" spans="1:6" s="58" customFormat="1" ht="23.25" customHeight="1" x14ac:dyDescent="0.3">
      <c r="A42" s="152"/>
      <c r="B42" s="949" t="s">
        <v>430</v>
      </c>
      <c r="C42" s="441"/>
      <c r="D42" s="441"/>
      <c r="E42" s="485"/>
      <c r="F42" s="487"/>
    </row>
    <row r="43" spans="1:6" s="58" customFormat="1" ht="23.25" customHeight="1" x14ac:dyDescent="0.3">
      <c r="A43" s="152"/>
      <c r="B43" s="944" t="s">
        <v>431</v>
      </c>
      <c r="C43" s="267">
        <v>65000</v>
      </c>
      <c r="D43" s="267">
        <v>100600</v>
      </c>
      <c r="E43" s="480">
        <v>100600</v>
      </c>
      <c r="F43" s="487">
        <f>+E43/D43*100</f>
        <v>100</v>
      </c>
    </row>
    <row r="44" spans="1:6" s="58" customFormat="1" ht="43.5" customHeight="1" x14ac:dyDescent="0.3">
      <c r="A44" s="152"/>
      <c r="B44" s="948" t="s">
        <v>603</v>
      </c>
      <c r="C44" s="267">
        <v>54770</v>
      </c>
      <c r="D44" s="267">
        <v>81924</v>
      </c>
      <c r="E44" s="486">
        <v>81792</v>
      </c>
      <c r="F44" s="482">
        <f t="shared" si="7"/>
        <v>99.838875054928948</v>
      </c>
    </row>
    <row r="45" spans="1:6" s="58" customFormat="1" ht="23.25" customHeight="1" x14ac:dyDescent="0.3">
      <c r="A45" s="152"/>
      <c r="B45" s="949" t="s">
        <v>396</v>
      </c>
      <c r="C45" s="441"/>
      <c r="D45" s="441"/>
      <c r="E45" s="485"/>
      <c r="F45" s="487"/>
    </row>
    <row r="46" spans="1:6" s="58" customFormat="1" ht="23.25" customHeight="1" x14ac:dyDescent="0.3">
      <c r="A46" s="152"/>
      <c r="B46" s="944" t="s">
        <v>575</v>
      </c>
      <c r="C46" s="267"/>
      <c r="D46" s="267">
        <v>1000</v>
      </c>
      <c r="E46" s="480">
        <v>1000</v>
      </c>
      <c r="F46" s="487">
        <f t="shared" si="7"/>
        <v>100</v>
      </c>
    </row>
    <row r="47" spans="1:6" s="58" customFormat="1" ht="23.25" customHeight="1" x14ac:dyDescent="0.3">
      <c r="A47" s="152"/>
      <c r="B47" s="944" t="s">
        <v>197</v>
      </c>
      <c r="C47" s="267">
        <v>6000</v>
      </c>
      <c r="D47" s="267">
        <v>6000</v>
      </c>
      <c r="E47" s="480">
        <v>6000</v>
      </c>
      <c r="F47" s="482">
        <f>+E47/D47*100</f>
        <v>100</v>
      </c>
    </row>
    <row r="48" spans="1:6" s="58" customFormat="1" ht="23.25" customHeight="1" x14ac:dyDescent="0.3">
      <c r="A48" s="152"/>
      <c r="B48" s="948" t="s">
        <v>244</v>
      </c>
      <c r="C48" s="267">
        <v>2000</v>
      </c>
      <c r="D48" s="267">
        <v>2000</v>
      </c>
      <c r="E48" s="480">
        <v>2000</v>
      </c>
      <c r="F48" s="482">
        <f>+E48/D48*100</f>
        <v>100</v>
      </c>
    </row>
    <row r="49" spans="1:6" s="58" customFormat="1" ht="23.25" customHeight="1" x14ac:dyDescent="0.3">
      <c r="A49" s="152"/>
      <c r="B49" s="950" t="s">
        <v>397</v>
      </c>
      <c r="C49" s="441">
        <v>2000</v>
      </c>
      <c r="D49" s="441">
        <v>2000</v>
      </c>
      <c r="E49" s="485">
        <v>2000</v>
      </c>
      <c r="F49" s="482">
        <f>+E49/D49*100</f>
        <v>100</v>
      </c>
    </row>
    <row r="50" spans="1:6" s="58" customFormat="1" ht="23.25" customHeight="1" x14ac:dyDescent="0.3">
      <c r="A50" s="152"/>
      <c r="B50" s="950" t="s">
        <v>538</v>
      </c>
      <c r="C50" s="441">
        <v>4000</v>
      </c>
      <c r="D50" s="441">
        <v>4300</v>
      </c>
      <c r="E50" s="485">
        <v>4300</v>
      </c>
      <c r="F50" s="482">
        <f t="shared" ref="F50" si="8">+E50/D50*100</f>
        <v>100</v>
      </c>
    </row>
    <row r="51" spans="1:6" s="58" customFormat="1" ht="23.25" customHeight="1" x14ac:dyDescent="0.3">
      <c r="A51" s="152"/>
      <c r="B51" s="949" t="s">
        <v>432</v>
      </c>
      <c r="C51" s="441"/>
      <c r="D51" s="441"/>
      <c r="E51" s="485"/>
      <c r="F51" s="482"/>
    </row>
    <row r="52" spans="1:6" s="58" customFormat="1" ht="23.25" customHeight="1" x14ac:dyDescent="0.3">
      <c r="A52" s="152"/>
      <c r="B52" s="951" t="s">
        <v>398</v>
      </c>
      <c r="C52" s="441">
        <v>130000</v>
      </c>
      <c r="D52" s="441">
        <v>130000</v>
      </c>
      <c r="E52" s="486">
        <v>130000</v>
      </c>
      <c r="F52" s="482">
        <f t="shared" ref="F52" si="9">+E52/D52*100</f>
        <v>100</v>
      </c>
    </row>
    <row r="53" spans="1:6" s="58" customFormat="1" ht="40.5" customHeight="1" x14ac:dyDescent="0.3">
      <c r="A53" s="153"/>
      <c r="B53" s="952" t="s">
        <v>433</v>
      </c>
      <c r="C53" s="267"/>
      <c r="D53" s="267"/>
      <c r="E53" s="488"/>
      <c r="F53" s="482"/>
    </row>
    <row r="54" spans="1:6" s="58" customFormat="1" ht="23.25" customHeight="1" x14ac:dyDescent="0.3">
      <c r="A54" s="152"/>
      <c r="B54" s="939" t="s">
        <v>94</v>
      </c>
      <c r="C54" s="369">
        <v>1905</v>
      </c>
      <c r="D54" s="369">
        <v>1905</v>
      </c>
      <c r="E54" s="477">
        <v>1894</v>
      </c>
      <c r="F54" s="489">
        <f t="shared" ref="F54:F68" si="10">+E54/D54*100</f>
        <v>99.422572178477679</v>
      </c>
    </row>
    <row r="55" spans="1:6" s="58" customFormat="1" ht="23.25" customHeight="1" x14ac:dyDescent="0.3">
      <c r="A55" s="152"/>
      <c r="B55" s="939" t="s">
        <v>175</v>
      </c>
      <c r="C55" s="369">
        <v>26000</v>
      </c>
      <c r="D55" s="369">
        <v>26000</v>
      </c>
      <c r="E55" s="477">
        <v>25112</v>
      </c>
      <c r="F55" s="489">
        <f t="shared" si="10"/>
        <v>96.584615384615375</v>
      </c>
    </row>
    <row r="56" spans="1:6" s="58" customFormat="1" ht="23.25" customHeight="1" x14ac:dyDescent="0.3">
      <c r="A56" s="152"/>
      <c r="B56" s="944" t="s">
        <v>422</v>
      </c>
      <c r="C56" s="267">
        <v>4482</v>
      </c>
      <c r="D56" s="267">
        <v>4482</v>
      </c>
      <c r="E56" s="490">
        <v>4482</v>
      </c>
      <c r="F56" s="562">
        <f t="shared" si="10"/>
        <v>100</v>
      </c>
    </row>
    <row r="57" spans="1:6" s="58" customFormat="1" ht="43.5" customHeight="1" x14ac:dyDescent="0.3">
      <c r="A57" s="152"/>
      <c r="B57" s="948" t="s">
        <v>253</v>
      </c>
      <c r="C57" s="267">
        <v>20000</v>
      </c>
      <c r="D57" s="267">
        <v>23618</v>
      </c>
      <c r="E57" s="486">
        <v>12868</v>
      </c>
      <c r="F57" s="482">
        <f t="shared" si="10"/>
        <v>54.483868236091112</v>
      </c>
    </row>
    <row r="58" spans="1:6" s="58" customFormat="1" ht="23.25" customHeight="1" x14ac:dyDescent="0.3">
      <c r="A58" s="152"/>
      <c r="B58" s="944" t="s">
        <v>539</v>
      </c>
      <c r="C58" s="267">
        <v>48245</v>
      </c>
      <c r="D58" s="267">
        <v>48786</v>
      </c>
      <c r="E58" s="490">
        <v>48786</v>
      </c>
      <c r="F58" s="562">
        <f t="shared" si="10"/>
        <v>100</v>
      </c>
    </row>
    <row r="59" spans="1:6" s="58" customFormat="1" ht="23.25" customHeight="1" x14ac:dyDescent="0.3">
      <c r="A59" s="152"/>
      <c r="B59" s="944" t="s">
        <v>540</v>
      </c>
      <c r="C59" s="267">
        <v>41828</v>
      </c>
      <c r="D59" s="267">
        <v>42973</v>
      </c>
      <c r="E59" s="490">
        <v>41828</v>
      </c>
      <c r="F59" s="562">
        <f t="shared" si="10"/>
        <v>97.335536266958329</v>
      </c>
    </row>
    <row r="60" spans="1:6" s="58" customFormat="1" ht="23.25" customHeight="1" x14ac:dyDescent="0.3">
      <c r="A60" s="152"/>
      <c r="B60" s="953" t="s">
        <v>423</v>
      </c>
      <c r="C60" s="441">
        <v>3000</v>
      </c>
      <c r="D60" s="441">
        <v>9753</v>
      </c>
      <c r="E60" s="561">
        <v>5101</v>
      </c>
      <c r="F60" s="562">
        <f t="shared" si="10"/>
        <v>52.301855839228949</v>
      </c>
    </row>
    <row r="61" spans="1:6" s="58" customFormat="1" ht="23.25" customHeight="1" x14ac:dyDescent="0.3">
      <c r="A61" s="152"/>
      <c r="B61" s="953" t="s">
        <v>541</v>
      </c>
      <c r="C61" s="267">
        <v>3300</v>
      </c>
      <c r="D61" s="267">
        <v>3300</v>
      </c>
      <c r="E61" s="490"/>
      <c r="F61" s="1887">
        <f t="shared" si="10"/>
        <v>0</v>
      </c>
    </row>
    <row r="62" spans="1:6" s="58" customFormat="1" ht="23.25" customHeight="1" x14ac:dyDescent="0.3">
      <c r="A62" s="152"/>
      <c r="B62" s="953" t="s">
        <v>542</v>
      </c>
      <c r="C62" s="441">
        <v>100000</v>
      </c>
      <c r="D62" s="441">
        <v>100000</v>
      </c>
      <c r="E62" s="561">
        <v>100000</v>
      </c>
      <c r="F62" s="562">
        <f t="shared" si="10"/>
        <v>100</v>
      </c>
    </row>
    <row r="63" spans="1:6" s="58" customFormat="1" ht="32.25" customHeight="1" x14ac:dyDescent="0.3">
      <c r="A63" s="152"/>
      <c r="B63" s="954" t="s">
        <v>644</v>
      </c>
      <c r="C63" s="441"/>
      <c r="D63" s="441">
        <v>31750</v>
      </c>
      <c r="E63" s="561"/>
      <c r="F63" s="562"/>
    </row>
    <row r="64" spans="1:6" s="58" customFormat="1" ht="23.25" customHeight="1" x14ac:dyDescent="0.3">
      <c r="A64" s="152"/>
      <c r="B64" s="948" t="s">
        <v>332</v>
      </c>
      <c r="C64" s="441">
        <v>50000</v>
      </c>
      <c r="D64" s="441">
        <v>50000</v>
      </c>
      <c r="E64" s="485">
        <v>50000</v>
      </c>
      <c r="F64" s="482">
        <f t="shared" si="10"/>
        <v>100</v>
      </c>
    </row>
    <row r="65" spans="1:6" s="58" customFormat="1" ht="43.5" customHeight="1" x14ac:dyDescent="0.3">
      <c r="A65" s="152"/>
      <c r="B65" s="948" t="s">
        <v>618</v>
      </c>
      <c r="C65" s="267"/>
      <c r="D65" s="267">
        <v>50000</v>
      </c>
      <c r="E65" s="486">
        <v>50000</v>
      </c>
      <c r="F65" s="482">
        <f t="shared" si="10"/>
        <v>100</v>
      </c>
    </row>
    <row r="66" spans="1:6" s="58" customFormat="1" ht="23.25" customHeight="1" x14ac:dyDescent="0.3">
      <c r="A66" s="152"/>
      <c r="B66" s="953" t="s">
        <v>619</v>
      </c>
      <c r="C66" s="267"/>
      <c r="D66" s="267">
        <v>45000</v>
      </c>
      <c r="E66" s="486">
        <v>45000</v>
      </c>
      <c r="F66" s="487">
        <f t="shared" si="10"/>
        <v>100</v>
      </c>
    </row>
    <row r="67" spans="1:6" s="58" customFormat="1" ht="25.5" customHeight="1" x14ac:dyDescent="0.3">
      <c r="A67" s="152"/>
      <c r="B67" s="952" t="s">
        <v>19</v>
      </c>
      <c r="C67" s="267"/>
      <c r="D67" s="267"/>
      <c r="E67" s="486"/>
      <c r="F67" s="482"/>
    </row>
    <row r="68" spans="1:6" s="58" customFormat="1" ht="43.5" customHeight="1" x14ac:dyDescent="0.3">
      <c r="A68" s="152"/>
      <c r="B68" s="948" t="s">
        <v>133</v>
      </c>
      <c r="C68" s="267">
        <v>5100</v>
      </c>
      <c r="D68" s="267">
        <v>6098</v>
      </c>
      <c r="E68" s="486">
        <v>5730</v>
      </c>
      <c r="F68" s="482">
        <f t="shared" si="10"/>
        <v>93.965234503115781</v>
      </c>
    </row>
    <row r="69" spans="1:6" s="58" customFormat="1" ht="23.25" customHeight="1" x14ac:dyDescent="0.3">
      <c r="A69" s="152"/>
      <c r="B69" s="950" t="s">
        <v>245</v>
      </c>
      <c r="C69" s="441">
        <v>25000</v>
      </c>
      <c r="D69" s="441">
        <v>25414</v>
      </c>
      <c r="E69" s="485">
        <v>25414</v>
      </c>
      <c r="F69" s="482">
        <f t="shared" ref="F69:F72" si="11">+E69/D69*100</f>
        <v>100</v>
      </c>
    </row>
    <row r="70" spans="1:6" s="58" customFormat="1" ht="23.25" customHeight="1" x14ac:dyDescent="0.3">
      <c r="A70" s="153"/>
      <c r="B70" s="955" t="s">
        <v>141</v>
      </c>
      <c r="C70" s="441">
        <v>5500</v>
      </c>
      <c r="D70" s="441">
        <v>5876</v>
      </c>
      <c r="E70" s="485">
        <v>5814</v>
      </c>
      <c r="F70" s="482">
        <f t="shared" si="11"/>
        <v>98.94486044928523</v>
      </c>
    </row>
    <row r="71" spans="1:6" s="58" customFormat="1" ht="39" customHeight="1" x14ac:dyDescent="0.3">
      <c r="A71" s="61"/>
      <c r="B71" s="955" t="s">
        <v>317</v>
      </c>
      <c r="C71" s="267">
        <v>27500</v>
      </c>
      <c r="D71" s="267">
        <v>32767</v>
      </c>
      <c r="E71" s="486">
        <v>28242</v>
      </c>
      <c r="F71" s="482">
        <f t="shared" si="11"/>
        <v>86.190374462111279</v>
      </c>
    </row>
    <row r="72" spans="1:6" s="58" customFormat="1" ht="23.25" customHeight="1" x14ac:dyDescent="0.3">
      <c r="A72" s="153"/>
      <c r="B72" s="955" t="s">
        <v>92</v>
      </c>
      <c r="C72" s="267">
        <v>600</v>
      </c>
      <c r="D72" s="267">
        <v>600</v>
      </c>
      <c r="E72" s="485">
        <v>600</v>
      </c>
      <c r="F72" s="482">
        <f t="shared" si="11"/>
        <v>100</v>
      </c>
    </row>
    <row r="73" spans="1:6" s="58" customFormat="1" ht="23.25" customHeight="1" x14ac:dyDescent="0.3">
      <c r="A73" s="152"/>
      <c r="B73" s="944" t="s">
        <v>142</v>
      </c>
      <c r="C73" s="267">
        <v>9000</v>
      </c>
      <c r="D73" s="267">
        <v>10715</v>
      </c>
      <c r="E73" s="486">
        <v>6858</v>
      </c>
      <c r="F73" s="487">
        <f t="shared" ref="F73:F82" si="12">+E73/D73*100</f>
        <v>64.003733084461032</v>
      </c>
    </row>
    <row r="74" spans="1:6" s="58" customFormat="1" ht="43.5" customHeight="1" x14ac:dyDescent="0.3">
      <c r="A74" s="152"/>
      <c r="B74" s="948" t="s">
        <v>328</v>
      </c>
      <c r="C74" s="267">
        <v>3000</v>
      </c>
      <c r="D74" s="267">
        <v>3000</v>
      </c>
      <c r="E74" s="486">
        <v>2838</v>
      </c>
      <c r="F74" s="482">
        <f t="shared" si="12"/>
        <v>94.6</v>
      </c>
    </row>
    <row r="75" spans="1:6" s="58" customFormat="1" ht="23.25" customHeight="1" x14ac:dyDescent="0.3">
      <c r="A75" s="152"/>
      <c r="B75" s="944" t="s">
        <v>481</v>
      </c>
      <c r="C75" s="267">
        <v>3810</v>
      </c>
      <c r="D75" s="267">
        <v>3810</v>
      </c>
      <c r="E75" s="485">
        <v>3810</v>
      </c>
      <c r="F75" s="487">
        <f t="shared" si="12"/>
        <v>100</v>
      </c>
    </row>
    <row r="76" spans="1:6" s="58" customFormat="1" ht="23.25" customHeight="1" x14ac:dyDescent="0.3">
      <c r="A76" s="152"/>
      <c r="B76" s="944" t="s">
        <v>399</v>
      </c>
      <c r="C76" s="267">
        <v>500</v>
      </c>
      <c r="D76" s="267">
        <v>500</v>
      </c>
      <c r="E76" s="486">
        <v>152</v>
      </c>
      <c r="F76" s="487">
        <f t="shared" si="12"/>
        <v>30.4</v>
      </c>
    </row>
    <row r="77" spans="1:6" s="58" customFormat="1" ht="23.25" customHeight="1" x14ac:dyDescent="0.3">
      <c r="A77" s="152"/>
      <c r="B77" s="935" t="s">
        <v>543</v>
      </c>
      <c r="C77" s="267">
        <v>1600</v>
      </c>
      <c r="D77" s="267">
        <v>1600</v>
      </c>
      <c r="E77" s="486">
        <v>457</v>
      </c>
      <c r="F77" s="487">
        <f t="shared" si="12"/>
        <v>28.5625</v>
      </c>
    </row>
    <row r="78" spans="1:6" s="58" customFormat="1" ht="23.25" customHeight="1" x14ac:dyDescent="0.3">
      <c r="A78" s="152"/>
      <c r="B78" s="956" t="s">
        <v>29</v>
      </c>
      <c r="C78" s="267"/>
      <c r="D78" s="267"/>
      <c r="E78" s="486"/>
      <c r="F78" s="487"/>
    </row>
    <row r="79" spans="1:6" s="58" customFormat="1" ht="23.25" customHeight="1" x14ac:dyDescent="0.3">
      <c r="A79" s="152"/>
      <c r="B79" s="944" t="s">
        <v>544</v>
      </c>
      <c r="C79" s="267">
        <v>10000</v>
      </c>
      <c r="D79" s="267">
        <v>53128</v>
      </c>
      <c r="E79" s="486">
        <v>29002</v>
      </c>
      <c r="F79" s="487">
        <f t="shared" si="12"/>
        <v>54.588917331727146</v>
      </c>
    </row>
    <row r="80" spans="1:6" s="58" customFormat="1" ht="23.25" customHeight="1" x14ac:dyDescent="0.3">
      <c r="A80" s="153"/>
      <c r="B80" s="944" t="s">
        <v>322</v>
      </c>
      <c r="C80" s="267">
        <v>1500</v>
      </c>
      <c r="D80" s="267">
        <v>1500</v>
      </c>
      <c r="E80" s="480">
        <v>930</v>
      </c>
      <c r="F80" s="487">
        <f t="shared" si="12"/>
        <v>62</v>
      </c>
    </row>
    <row r="81" spans="1:6" s="58" customFormat="1" ht="23.25" customHeight="1" x14ac:dyDescent="0.3">
      <c r="A81" s="153"/>
      <c r="B81" s="948" t="s">
        <v>545</v>
      </c>
      <c r="C81" s="267">
        <v>1000</v>
      </c>
      <c r="D81" s="267">
        <v>1000</v>
      </c>
      <c r="E81" s="486"/>
      <c r="F81" s="487">
        <f t="shared" si="12"/>
        <v>0</v>
      </c>
    </row>
    <row r="82" spans="1:6" s="58" customFormat="1" ht="62.25" customHeight="1" x14ac:dyDescent="0.3">
      <c r="A82" s="153"/>
      <c r="B82" s="948" t="s">
        <v>400</v>
      </c>
      <c r="C82" s="267">
        <v>3500</v>
      </c>
      <c r="D82" s="267">
        <v>3500</v>
      </c>
      <c r="E82" s="486">
        <v>3500</v>
      </c>
      <c r="F82" s="487">
        <f t="shared" si="12"/>
        <v>100</v>
      </c>
    </row>
    <row r="83" spans="1:6" s="58" customFormat="1" ht="30" customHeight="1" x14ac:dyDescent="0.3">
      <c r="A83" s="152"/>
      <c r="B83" s="956" t="s">
        <v>30</v>
      </c>
      <c r="C83" s="265"/>
      <c r="D83" s="265"/>
      <c r="E83" s="491"/>
      <c r="F83" s="487"/>
    </row>
    <row r="84" spans="1:6" s="58" customFormat="1" ht="23.25" customHeight="1" x14ac:dyDescent="0.3">
      <c r="A84" s="152"/>
      <c r="B84" s="944" t="s">
        <v>576</v>
      </c>
      <c r="C84" s="267"/>
      <c r="D84" s="267">
        <v>49677</v>
      </c>
      <c r="E84" s="486">
        <v>8890</v>
      </c>
      <c r="F84" s="487">
        <f>+E84/D84*100</f>
        <v>17.895605612255171</v>
      </c>
    </row>
    <row r="85" spans="1:6" s="58" customFormat="1" ht="23.25" customHeight="1" thickBot="1" x14ac:dyDescent="0.35">
      <c r="A85" s="152"/>
      <c r="B85" s="957" t="s">
        <v>212</v>
      </c>
      <c r="C85" s="492">
        <f>SUM(C20:C84)</f>
        <v>4911606</v>
      </c>
      <c r="D85" s="492">
        <f>SUM(D20:D84)</f>
        <v>5746777</v>
      </c>
      <c r="E85" s="493">
        <f>SUM(E20:E84)</f>
        <v>5596936</v>
      </c>
      <c r="F85" s="494">
        <f>+E85/D85*100</f>
        <v>97.392608065355589</v>
      </c>
    </row>
    <row r="86" spans="1:6" s="58" customFormat="1" ht="23.25" customHeight="1" x14ac:dyDescent="0.3">
      <c r="A86" s="152"/>
      <c r="B86" s="937" t="s">
        <v>104</v>
      </c>
      <c r="C86" s="280"/>
      <c r="D86" s="495"/>
      <c r="E86" s="496"/>
      <c r="F86" s="497"/>
    </row>
    <row r="87" spans="1:6" s="58" customFormat="1" ht="23.25" customHeight="1" x14ac:dyDescent="0.3">
      <c r="A87" s="152"/>
      <c r="B87" s="953" t="s">
        <v>424</v>
      </c>
      <c r="C87" s="267">
        <v>72470</v>
      </c>
      <c r="D87" s="267">
        <v>0</v>
      </c>
      <c r="E87" s="498"/>
      <c r="F87" s="487"/>
    </row>
    <row r="88" spans="1:6" s="58" customFormat="1" ht="23.25" customHeight="1" x14ac:dyDescent="0.3">
      <c r="A88" s="152"/>
      <c r="B88" s="953" t="s">
        <v>272</v>
      </c>
      <c r="C88" s="267"/>
      <c r="D88" s="267">
        <v>6268</v>
      </c>
      <c r="E88" s="486">
        <v>6068</v>
      </c>
      <c r="F88" s="487">
        <f t="shared" ref="F88:F98" si="13">+E88/D88*100</f>
        <v>96.809189534141666</v>
      </c>
    </row>
    <row r="89" spans="1:6" s="58" customFormat="1" ht="23.25" customHeight="1" x14ac:dyDescent="0.3">
      <c r="A89" s="152"/>
      <c r="B89" s="953" t="s">
        <v>274</v>
      </c>
      <c r="C89" s="267"/>
      <c r="D89" s="267">
        <v>4400</v>
      </c>
      <c r="E89" s="486"/>
      <c r="F89" s="487">
        <f>+E89/D89*100</f>
        <v>0</v>
      </c>
    </row>
    <row r="90" spans="1:6" s="58" customFormat="1" ht="43.5" customHeight="1" x14ac:dyDescent="0.3">
      <c r="A90" s="152"/>
      <c r="B90" s="948" t="s">
        <v>271</v>
      </c>
      <c r="C90" s="267"/>
      <c r="D90" s="267">
        <v>9</v>
      </c>
      <c r="E90" s="486"/>
      <c r="F90" s="482">
        <f>+E90/D90*100</f>
        <v>0</v>
      </c>
    </row>
    <row r="91" spans="1:6" s="58" customFormat="1" ht="34.5" customHeight="1" x14ac:dyDescent="0.3">
      <c r="A91" s="152"/>
      <c r="B91" s="955" t="s">
        <v>507</v>
      </c>
      <c r="C91" s="441"/>
      <c r="D91" s="441">
        <v>34333</v>
      </c>
      <c r="E91" s="561">
        <v>34256</v>
      </c>
      <c r="F91" s="562">
        <f t="shared" si="13"/>
        <v>99.775725977922107</v>
      </c>
    </row>
    <row r="92" spans="1:6" s="58" customFormat="1" ht="43.5" customHeight="1" x14ac:dyDescent="0.3">
      <c r="A92" s="152"/>
      <c r="B92" s="948" t="s">
        <v>508</v>
      </c>
      <c r="C92" s="267"/>
      <c r="D92" s="267">
        <v>1089</v>
      </c>
      <c r="E92" s="486">
        <v>1089</v>
      </c>
      <c r="F92" s="482">
        <f t="shared" si="13"/>
        <v>100</v>
      </c>
    </row>
    <row r="93" spans="1:6" s="58" customFormat="1" ht="43.5" customHeight="1" x14ac:dyDescent="0.3">
      <c r="A93" s="152"/>
      <c r="B93" s="948" t="s">
        <v>620</v>
      </c>
      <c r="C93" s="267"/>
      <c r="D93" s="267">
        <v>26051</v>
      </c>
      <c r="E93" s="486">
        <v>26051</v>
      </c>
      <c r="F93" s="482">
        <f t="shared" si="13"/>
        <v>100</v>
      </c>
    </row>
    <row r="94" spans="1:6" s="58" customFormat="1" ht="23.25" customHeight="1" x14ac:dyDescent="0.3">
      <c r="A94" s="152"/>
      <c r="B94" s="955" t="s">
        <v>480</v>
      </c>
      <c r="C94" s="441"/>
      <c r="D94" s="441">
        <v>193</v>
      </c>
      <c r="E94" s="485">
        <v>189</v>
      </c>
      <c r="F94" s="482">
        <f t="shared" si="13"/>
        <v>97.92746113989638</v>
      </c>
    </row>
    <row r="95" spans="1:6" s="58" customFormat="1" ht="23.25" customHeight="1" x14ac:dyDescent="0.3">
      <c r="A95" s="152"/>
      <c r="B95" s="958" t="s">
        <v>602</v>
      </c>
      <c r="C95" s="371"/>
      <c r="D95" s="371">
        <v>24000</v>
      </c>
      <c r="E95" s="499">
        <v>3340</v>
      </c>
      <c r="F95" s="500">
        <f t="shared" si="13"/>
        <v>13.916666666666666</v>
      </c>
    </row>
    <row r="96" spans="1:6" s="58" customFormat="1" ht="23.25" customHeight="1" thickBot="1" x14ac:dyDescent="0.35">
      <c r="A96" s="152"/>
      <c r="B96" s="959" t="s">
        <v>212</v>
      </c>
      <c r="C96" s="286">
        <f>SUM(C87:C95)</f>
        <v>72470</v>
      </c>
      <c r="D96" s="286">
        <f>SUM(D87:D95)</f>
        <v>96343</v>
      </c>
      <c r="E96" s="286">
        <f>SUM(E87:E95)</f>
        <v>70993</v>
      </c>
      <c r="F96" s="501">
        <f t="shared" si="13"/>
        <v>73.687761435703678</v>
      </c>
    </row>
    <row r="97" spans="1:12" s="58" customFormat="1" ht="23.25" customHeight="1" thickBot="1" x14ac:dyDescent="0.35">
      <c r="A97" s="152"/>
      <c r="B97" s="960" t="s">
        <v>331</v>
      </c>
      <c r="C97" s="278">
        <f>+C18+C85+C96</f>
        <v>6339943</v>
      </c>
      <c r="D97" s="449">
        <f>+D18+D85+D96</f>
        <v>7385340</v>
      </c>
      <c r="E97" s="502">
        <f>+E18+E85+E96</f>
        <v>7572404</v>
      </c>
      <c r="F97" s="503">
        <f t="shared" si="13"/>
        <v>102.53290979156004</v>
      </c>
      <c r="I97" s="152"/>
      <c r="J97" s="152"/>
      <c r="K97" s="152"/>
      <c r="L97" s="152"/>
    </row>
    <row r="98" spans="1:12" s="99" customFormat="1" ht="44.25" customHeight="1" thickBot="1" x14ac:dyDescent="0.35">
      <c r="A98" s="98"/>
      <c r="B98" s="961" t="s">
        <v>363</v>
      </c>
      <c r="C98" s="286">
        <f>+C10+C97</f>
        <v>8747135</v>
      </c>
      <c r="D98" s="450">
        <f>+D10+D97</f>
        <v>10046815</v>
      </c>
      <c r="E98" s="450">
        <f>+E10+E97</f>
        <v>9986935</v>
      </c>
      <c r="F98" s="379">
        <f t="shared" si="13"/>
        <v>99.403990219786081</v>
      </c>
    </row>
    <row r="99" spans="1:12" s="58" customFormat="1" ht="15" customHeight="1" x14ac:dyDescent="0.3">
      <c r="A99" s="152"/>
      <c r="B99" s="962"/>
      <c r="C99" s="962"/>
      <c r="D99" s="447"/>
      <c r="E99" s="447"/>
      <c r="F99" s="962"/>
    </row>
    <row r="100" spans="1:12" s="58" customFormat="1" ht="36" customHeight="1" thickBot="1" x14ac:dyDescent="0.35">
      <c r="A100" s="152"/>
      <c r="B100" s="963" t="s">
        <v>18</v>
      </c>
      <c r="C100" s="964"/>
      <c r="D100" s="964"/>
      <c r="E100" s="964"/>
      <c r="F100" s="964"/>
    </row>
    <row r="101" spans="1:12" s="58" customFormat="1" ht="23.25" customHeight="1" x14ac:dyDescent="0.3">
      <c r="A101" s="152"/>
      <c r="B101" s="930" t="s">
        <v>31</v>
      </c>
      <c r="C101" s="2004" t="s">
        <v>515</v>
      </c>
      <c r="D101" s="2005"/>
      <c r="E101" s="448" t="s">
        <v>340</v>
      </c>
      <c r="F101" s="293" t="s">
        <v>100</v>
      </c>
    </row>
    <row r="102" spans="1:12" s="58" customFormat="1" ht="23.25" customHeight="1" thickBot="1" x14ac:dyDescent="0.35">
      <c r="A102" s="152"/>
      <c r="B102" s="959"/>
      <c r="C102" s="388" t="s">
        <v>202</v>
      </c>
      <c r="D102" s="504" t="s">
        <v>98</v>
      </c>
      <c r="E102" s="390" t="s">
        <v>99</v>
      </c>
      <c r="F102" s="276" t="s">
        <v>101</v>
      </c>
    </row>
    <row r="103" spans="1:12" s="58" customFormat="1" ht="23.25" customHeight="1" x14ac:dyDescent="0.3">
      <c r="A103" s="152"/>
      <c r="B103" s="965" t="s">
        <v>530</v>
      </c>
      <c r="C103" s="404"/>
      <c r="D103" s="404"/>
      <c r="E103" s="404"/>
      <c r="F103" s="471"/>
    </row>
    <row r="104" spans="1:12" s="58" customFormat="1" ht="23.25" customHeight="1" thickBot="1" x14ac:dyDescent="0.35">
      <c r="A104" s="152"/>
      <c r="B104" s="950" t="s">
        <v>531</v>
      </c>
      <c r="C104" s="322">
        <v>5300</v>
      </c>
      <c r="D104" s="322"/>
      <c r="E104" s="322"/>
      <c r="F104" s="505"/>
    </row>
    <row r="105" spans="1:12" s="99" customFormat="1" ht="23.25" customHeight="1" thickBot="1" x14ac:dyDescent="0.35">
      <c r="A105" s="98"/>
      <c r="B105" s="966" t="s">
        <v>532</v>
      </c>
      <c r="C105" s="332">
        <f>SUM(C103:C104)</f>
        <v>5300</v>
      </c>
      <c r="D105" s="332">
        <v>39758</v>
      </c>
      <c r="E105" s="332">
        <v>35655</v>
      </c>
      <c r="F105" s="379">
        <f t="shared" ref="F105:F107" si="14">+E105/D105*100</f>
        <v>89.680064389556819</v>
      </c>
    </row>
    <row r="106" spans="1:12" s="58" customFormat="1" ht="23.25" customHeight="1" thickBot="1" x14ac:dyDescent="0.35">
      <c r="A106" s="152"/>
      <c r="B106" s="933" t="s">
        <v>46</v>
      </c>
      <c r="C106" s="320">
        <v>88490</v>
      </c>
      <c r="D106" s="320">
        <v>113266</v>
      </c>
      <c r="E106" s="320">
        <v>97630</v>
      </c>
      <c r="F106" s="468">
        <f t="shared" si="14"/>
        <v>86.195327812406191</v>
      </c>
    </row>
    <row r="107" spans="1:12" s="58" customFormat="1" ht="42" customHeight="1" thickBot="1" x14ac:dyDescent="0.35">
      <c r="A107" s="152"/>
      <c r="B107" s="967" t="s">
        <v>364</v>
      </c>
      <c r="C107" s="332">
        <f>+C105+C106</f>
        <v>93790</v>
      </c>
      <c r="D107" s="332">
        <f t="shared" ref="D107:E107" si="15">+D105+D106</f>
        <v>153024</v>
      </c>
      <c r="E107" s="332">
        <f t="shared" si="15"/>
        <v>133285</v>
      </c>
      <c r="F107" s="379">
        <f t="shared" si="14"/>
        <v>87.100716227519868</v>
      </c>
    </row>
    <row r="108" spans="1:12" s="58" customFormat="1" ht="15" customHeight="1" thickBot="1" x14ac:dyDescent="0.35">
      <c r="A108" s="152"/>
      <c r="B108" s="968"/>
      <c r="C108" s="337"/>
      <c r="D108" s="337"/>
      <c r="E108" s="384"/>
      <c r="F108" s="285"/>
    </row>
    <row r="109" spans="1:12" s="58" customFormat="1" ht="42" customHeight="1" thickBot="1" x14ac:dyDescent="0.35">
      <c r="A109" s="152"/>
      <c r="B109" s="967" t="s">
        <v>365</v>
      </c>
      <c r="C109" s="386">
        <f>C98+C107</f>
        <v>8840925</v>
      </c>
      <c r="D109" s="386">
        <f>D98+D107</f>
        <v>10199839</v>
      </c>
      <c r="E109" s="332">
        <f>E98+E107</f>
        <v>10120220</v>
      </c>
      <c r="F109" s="379">
        <f>+E109/D109*100</f>
        <v>99.219409247538124</v>
      </c>
    </row>
    <row r="111" spans="1:12" ht="15" customHeight="1" x14ac:dyDescent="0.2">
      <c r="F111" s="3"/>
    </row>
    <row r="112" spans="1:12" ht="15" customHeight="1" x14ac:dyDescent="0.2">
      <c r="F112" s="3"/>
    </row>
  </sheetData>
  <mergeCells count="4">
    <mergeCell ref="B1:C1"/>
    <mergeCell ref="C4:D4"/>
    <mergeCell ref="C101:D101"/>
    <mergeCell ref="B2:F2"/>
  </mergeCells>
  <phoneticPr fontId="0" type="noConversion"/>
  <printOptions horizontalCentered="1" verticalCentered="1"/>
  <pageMargins left="0.19685039370078741" right="0.19685039370078741" top="0" bottom="0.19685039370078741" header="0.11811023622047245" footer="0.11811023622047245"/>
  <pageSetup paperSize="9" scale="51" orientation="portrait" r:id="rId1"/>
  <headerFooter alignWithMargins="0">
    <oddHeader xml:space="preserve">&amp;R&amp;"Arial,Félkövér"&amp;16
&amp;"Calibri,Félkövér"&amp;11 13. melléklet a 13/2023. (V.26.) önkormányzati rendelethez </oddHeader>
  </headerFooter>
  <rowBreaks count="1" manualBreakCount="1">
    <brk id="66" min="1" max="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27"/>
  <dimension ref="A1:F26"/>
  <sheetViews>
    <sheetView view="pageLayout" topLeftCell="F1" zoomScaleNormal="100" zoomScaleSheetLayoutView="75" workbookViewId="0">
      <selection activeCell="P2" sqref="P2"/>
    </sheetView>
  </sheetViews>
  <sheetFormatPr defaultColWidth="9.33203125" defaultRowHeight="15" customHeight="1" x14ac:dyDescent="0.2"/>
  <cols>
    <col min="1" max="1" width="11.83203125" style="10" bestFit="1" customWidth="1"/>
    <col min="2" max="2" width="78.5" style="1" customWidth="1"/>
    <col min="3" max="3" width="18.83203125" style="1" customWidth="1"/>
    <col min="4" max="5" width="18.83203125" style="3" customWidth="1"/>
    <col min="6" max="6" width="18.83203125" style="1" customWidth="1"/>
    <col min="7" max="16384" width="9.33203125" style="1"/>
  </cols>
  <sheetData>
    <row r="1" spans="1:6" s="58" customFormat="1" ht="15" customHeight="1" x14ac:dyDescent="0.25">
      <c r="A1" s="152"/>
      <c r="B1" s="2006"/>
      <c r="C1" s="2006"/>
      <c r="D1" s="152"/>
      <c r="E1" s="152"/>
    </row>
    <row r="2" spans="1:6" s="58" customFormat="1" ht="30" customHeight="1" x14ac:dyDescent="0.3">
      <c r="A2" s="152"/>
      <c r="B2" s="2070" t="s">
        <v>24</v>
      </c>
      <c r="C2" s="2070"/>
      <c r="D2" s="2070"/>
      <c r="E2" s="2070"/>
      <c r="F2" s="2070"/>
    </row>
    <row r="3" spans="1:6" s="58" customFormat="1" ht="14.25" customHeight="1" x14ac:dyDescent="0.3">
      <c r="A3" s="152"/>
      <c r="B3" s="384" t="s">
        <v>57</v>
      </c>
      <c r="C3" s="962"/>
      <c r="D3" s="447"/>
      <c r="E3" s="447"/>
      <c r="F3" s="962"/>
    </row>
    <row r="4" spans="1:6" s="58" customFormat="1" ht="18.75" customHeight="1" thickBot="1" x14ac:dyDescent="0.35">
      <c r="A4" s="152"/>
      <c r="B4" s="962"/>
      <c r="C4" s="1017"/>
      <c r="D4" s="964"/>
      <c r="E4" s="964"/>
      <c r="F4" s="1454" t="s">
        <v>17</v>
      </c>
    </row>
    <row r="5" spans="1:6" s="1520" customFormat="1" ht="18.95" customHeight="1" x14ac:dyDescent="0.25">
      <c r="A5" s="1523"/>
      <c r="B5" s="1676" t="s">
        <v>31</v>
      </c>
      <c r="C5" s="2080" t="s">
        <v>515</v>
      </c>
      <c r="D5" s="2081"/>
      <c r="E5" s="1679" t="s">
        <v>340</v>
      </c>
      <c r="F5" s="1680" t="s">
        <v>100</v>
      </c>
    </row>
    <row r="6" spans="1:6" s="1520" customFormat="1" ht="18.95" customHeight="1" thickBot="1" x14ac:dyDescent="0.3">
      <c r="A6" s="1523"/>
      <c r="B6" s="1681"/>
      <c r="C6" s="1682" t="s">
        <v>202</v>
      </c>
      <c r="D6" s="1682" t="s">
        <v>98</v>
      </c>
      <c r="E6" s="1683" t="s">
        <v>99</v>
      </c>
      <c r="F6" s="1684" t="s">
        <v>101</v>
      </c>
    </row>
    <row r="7" spans="1:6" s="58" customFormat="1" ht="25.5" customHeight="1" x14ac:dyDescent="0.3">
      <c r="A7" s="152"/>
      <c r="B7" s="1892" t="s">
        <v>589</v>
      </c>
      <c r="C7" s="467">
        <v>370000</v>
      </c>
      <c r="D7" s="467">
        <v>395447</v>
      </c>
      <c r="E7" s="1893">
        <v>395447</v>
      </c>
      <c r="F7" s="1894">
        <f t="shared" ref="F7:F22" si="0">+E7/D7*100</f>
        <v>100</v>
      </c>
    </row>
    <row r="8" spans="1:6" s="58" customFormat="1" ht="25.5" customHeight="1" x14ac:dyDescent="0.3">
      <c r="A8" s="152"/>
      <c r="B8" s="160" t="s">
        <v>370</v>
      </c>
      <c r="C8" s="267"/>
      <c r="D8" s="267">
        <v>31553</v>
      </c>
      <c r="E8" s="480">
        <v>31553</v>
      </c>
      <c r="F8" s="487">
        <f t="shared" si="0"/>
        <v>100</v>
      </c>
    </row>
    <row r="9" spans="1:6" s="58" customFormat="1" ht="27" customHeight="1" x14ac:dyDescent="0.3">
      <c r="A9" s="152"/>
      <c r="B9" s="1895" t="s">
        <v>52</v>
      </c>
      <c r="C9" s="369">
        <v>15000</v>
      </c>
      <c r="D9" s="369">
        <v>29400</v>
      </c>
      <c r="E9" s="477">
        <v>21487</v>
      </c>
      <c r="F9" s="489">
        <f t="shared" si="0"/>
        <v>73.085034013605437</v>
      </c>
    </row>
    <row r="10" spans="1:6" s="58" customFormat="1" ht="25.5" customHeight="1" x14ac:dyDescent="0.3">
      <c r="A10" s="152"/>
      <c r="B10" s="160" t="s">
        <v>590</v>
      </c>
      <c r="C10" s="267">
        <v>1089</v>
      </c>
      <c r="D10" s="267">
        <v>1245</v>
      </c>
      <c r="E10" s="480">
        <v>1050</v>
      </c>
      <c r="F10" s="487">
        <f t="shared" si="0"/>
        <v>84.337349397590373</v>
      </c>
    </row>
    <row r="11" spans="1:6" s="58" customFormat="1" ht="37.5" customHeight="1" x14ac:dyDescent="0.3">
      <c r="A11" s="152"/>
      <c r="B11" s="200" t="s">
        <v>401</v>
      </c>
      <c r="C11" s="267">
        <v>8220</v>
      </c>
      <c r="D11" s="267">
        <v>8220</v>
      </c>
      <c r="E11" s="480">
        <v>8220</v>
      </c>
      <c r="F11" s="481">
        <f t="shared" si="0"/>
        <v>100</v>
      </c>
    </row>
    <row r="12" spans="1:6" s="58" customFormat="1" ht="18.75" x14ac:dyDescent="0.3">
      <c r="A12" s="152"/>
      <c r="B12" s="160" t="s">
        <v>546</v>
      </c>
      <c r="C12" s="267">
        <v>50000</v>
      </c>
      <c r="D12" s="267">
        <v>50000</v>
      </c>
      <c r="E12" s="480">
        <v>50000</v>
      </c>
      <c r="F12" s="481">
        <f t="shared" si="0"/>
        <v>100</v>
      </c>
    </row>
    <row r="13" spans="1:6" s="58" customFormat="1" ht="37.5" customHeight="1" x14ac:dyDescent="0.3">
      <c r="A13" s="152"/>
      <c r="B13" s="200" t="s">
        <v>402</v>
      </c>
      <c r="C13" s="267">
        <v>8268</v>
      </c>
      <c r="D13" s="267">
        <v>8268</v>
      </c>
      <c r="E13" s="480">
        <v>8268</v>
      </c>
      <c r="F13" s="481">
        <f t="shared" si="0"/>
        <v>100</v>
      </c>
    </row>
    <row r="14" spans="1:6" s="58" customFormat="1" ht="25.5" customHeight="1" x14ac:dyDescent="0.3">
      <c r="A14" s="152"/>
      <c r="B14" s="160" t="s">
        <v>277</v>
      </c>
      <c r="C14" s="267">
        <v>50000</v>
      </c>
      <c r="D14" s="267">
        <v>59500</v>
      </c>
      <c r="E14" s="480">
        <v>50000</v>
      </c>
      <c r="F14" s="487">
        <f t="shared" si="0"/>
        <v>84.033613445378151</v>
      </c>
    </row>
    <row r="15" spans="1:6" s="58" customFormat="1" ht="25.5" customHeight="1" x14ac:dyDescent="0.3">
      <c r="A15" s="152"/>
      <c r="B15" s="160" t="s">
        <v>421</v>
      </c>
      <c r="C15" s="267">
        <v>50000</v>
      </c>
      <c r="D15" s="267">
        <v>63623</v>
      </c>
      <c r="E15" s="480">
        <v>59700</v>
      </c>
      <c r="F15" s="487">
        <f t="shared" si="0"/>
        <v>93.833990852364707</v>
      </c>
    </row>
    <row r="16" spans="1:6" s="58" customFormat="1" ht="25.5" customHeight="1" x14ac:dyDescent="0.3">
      <c r="A16" s="152"/>
      <c r="B16" s="160" t="s">
        <v>587</v>
      </c>
      <c r="C16" s="267">
        <v>6000</v>
      </c>
      <c r="D16" s="267">
        <v>6000</v>
      </c>
      <c r="E16" s="480">
        <v>6000</v>
      </c>
      <c r="F16" s="487">
        <f t="shared" si="0"/>
        <v>100</v>
      </c>
    </row>
    <row r="17" spans="1:6" s="58" customFormat="1" ht="37.5" customHeight="1" x14ac:dyDescent="0.3">
      <c r="A17" s="152"/>
      <c r="B17" s="200" t="s">
        <v>606</v>
      </c>
      <c r="C17" s="267">
        <v>4000</v>
      </c>
      <c r="D17" s="267">
        <v>9100</v>
      </c>
      <c r="E17" s="480">
        <v>9100</v>
      </c>
      <c r="F17" s="481">
        <f t="shared" si="0"/>
        <v>100</v>
      </c>
    </row>
    <row r="18" spans="1:6" s="58" customFormat="1" ht="25.5" customHeight="1" x14ac:dyDescent="0.3">
      <c r="A18" s="152"/>
      <c r="B18" s="160" t="s">
        <v>509</v>
      </c>
      <c r="C18" s="267">
        <v>250000</v>
      </c>
      <c r="D18" s="267">
        <v>250000</v>
      </c>
      <c r="E18" s="480">
        <v>250000</v>
      </c>
      <c r="F18" s="487">
        <f t="shared" si="0"/>
        <v>100</v>
      </c>
    </row>
    <row r="19" spans="1:6" s="58" customFormat="1" ht="25.5" customHeight="1" x14ac:dyDescent="0.3">
      <c r="A19" s="152"/>
      <c r="B19" s="160" t="s">
        <v>547</v>
      </c>
      <c r="C19" s="267">
        <v>5000</v>
      </c>
      <c r="D19" s="267">
        <v>5000</v>
      </c>
      <c r="E19" s="480">
        <v>5000</v>
      </c>
      <c r="F19" s="487">
        <f t="shared" si="0"/>
        <v>100</v>
      </c>
    </row>
    <row r="20" spans="1:6" s="58" customFormat="1" ht="37.5" customHeight="1" x14ac:dyDescent="0.3">
      <c r="A20" s="152"/>
      <c r="B20" s="200" t="s">
        <v>496</v>
      </c>
      <c r="C20" s="267"/>
      <c r="D20" s="267">
        <v>2177</v>
      </c>
      <c r="E20" s="480">
        <v>1829</v>
      </c>
      <c r="F20" s="481">
        <f t="shared" si="0"/>
        <v>84.014699127239325</v>
      </c>
    </row>
    <row r="21" spans="1:6" s="58" customFormat="1" ht="25.5" customHeight="1" x14ac:dyDescent="0.3">
      <c r="A21" s="152"/>
      <c r="B21" s="160" t="s">
        <v>591</v>
      </c>
      <c r="C21" s="267"/>
      <c r="D21" s="267">
        <v>5000</v>
      </c>
      <c r="E21" s="480">
        <v>5000</v>
      </c>
      <c r="F21" s="487">
        <f t="shared" si="0"/>
        <v>100</v>
      </c>
    </row>
    <row r="22" spans="1:6" s="58" customFormat="1" ht="25.5" customHeight="1" thickBot="1" x14ac:dyDescent="0.35">
      <c r="A22" s="152"/>
      <c r="B22" s="1888" t="s">
        <v>593</v>
      </c>
      <c r="C22" s="1889"/>
      <c r="D22" s="1889">
        <v>5000</v>
      </c>
      <c r="E22" s="1890">
        <v>5000</v>
      </c>
      <c r="F22" s="1891">
        <f t="shared" si="0"/>
        <v>100</v>
      </c>
    </row>
    <row r="23" spans="1:6" s="1520" customFormat="1" ht="18.95" customHeight="1" thickBot="1" x14ac:dyDescent="0.3">
      <c r="A23" s="1523"/>
      <c r="B23" s="1527" t="s">
        <v>12</v>
      </c>
      <c r="C23" s="1685">
        <f>SUM(C7:C22)</f>
        <v>817577</v>
      </c>
      <c r="D23" s="1685">
        <f>SUM(D7:D22)</f>
        <v>929533</v>
      </c>
      <c r="E23" s="1685">
        <f>SUM(E7:E22)</f>
        <v>907654</v>
      </c>
      <c r="F23" s="1686">
        <f t="shared" ref="F23" si="1">+E23/D23*100</f>
        <v>97.646237411689526</v>
      </c>
    </row>
    <row r="24" spans="1:6" ht="20.100000000000001" customHeight="1" x14ac:dyDescent="0.2"/>
    <row r="25" spans="1:6" ht="15" customHeight="1" x14ac:dyDescent="0.25">
      <c r="C25" s="3"/>
      <c r="D25" s="152"/>
      <c r="E25" s="152"/>
      <c r="F25" s="58"/>
    </row>
    <row r="26" spans="1:6" ht="15" customHeight="1" x14ac:dyDescent="0.25">
      <c r="D26" s="152"/>
      <c r="E26" s="152"/>
      <c r="F26" s="58"/>
    </row>
  </sheetData>
  <mergeCells count="3">
    <mergeCell ref="B1:C1"/>
    <mergeCell ref="C5:D5"/>
    <mergeCell ref="B2:F2"/>
  </mergeCells>
  <phoneticPr fontId="0" type="noConversion"/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85" orientation="portrait" r:id="rId1"/>
  <headerFooter alignWithMargins="0">
    <oddHeader xml:space="preserve">&amp;C
&amp;R&amp;"-,Félkövér"&amp;11  14. melléklet a 13/2023. (V.26.) önkormányzati rendelethez &amp;"Arial CE,Normál"&amp;12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15"/>
  <dimension ref="A1:J50"/>
  <sheetViews>
    <sheetView view="pageLayout" topLeftCell="A108" zoomScaleNormal="100" workbookViewId="0">
      <selection activeCell="G122" sqref="G122"/>
    </sheetView>
  </sheetViews>
  <sheetFormatPr defaultColWidth="9.33203125" defaultRowHeight="15" customHeight="1" x14ac:dyDescent="0.2"/>
  <cols>
    <col min="1" max="1" width="17.33203125" style="3" customWidth="1"/>
    <col min="2" max="2" width="5.33203125" style="1" customWidth="1"/>
    <col min="3" max="3" width="9.33203125" style="1"/>
    <col min="4" max="4" width="15.83203125" style="1" customWidth="1"/>
    <col min="5" max="5" width="25.83203125" style="1" customWidth="1"/>
    <col min="6" max="6" width="42.83203125" style="1" customWidth="1"/>
    <col min="7" max="10" width="17.83203125" style="1" customWidth="1"/>
    <col min="11" max="16384" width="9.33203125" style="1"/>
  </cols>
  <sheetData>
    <row r="1" spans="1:10" s="58" customFormat="1" ht="15" customHeight="1" x14ac:dyDescent="0.25">
      <c r="A1" s="152"/>
      <c r="B1" s="2006"/>
      <c r="C1" s="2006"/>
      <c r="D1" s="2006"/>
      <c r="E1" s="2006"/>
      <c r="F1" s="2006"/>
      <c r="G1" s="2006"/>
    </row>
    <row r="2" spans="1:10" s="58" customFormat="1" ht="23.25" customHeight="1" x14ac:dyDescent="0.3">
      <c r="A2" s="152"/>
      <c r="B2" s="2092" t="s">
        <v>90</v>
      </c>
      <c r="C2" s="2092"/>
      <c r="D2" s="2092"/>
      <c r="E2" s="2092"/>
      <c r="F2" s="2092"/>
      <c r="G2" s="2092"/>
      <c r="H2" s="2092"/>
      <c r="I2" s="2092"/>
      <c r="J2" s="2092"/>
    </row>
    <row r="3" spans="1:10" s="58" customFormat="1" ht="15" customHeight="1" x14ac:dyDescent="0.3">
      <c r="A3" s="152"/>
      <c r="B3" s="1455"/>
      <c r="C3" s="1455"/>
      <c r="D3" s="1455"/>
      <c r="E3" s="1455"/>
      <c r="F3" s="1455"/>
      <c r="G3" s="1455"/>
      <c r="H3" s="1455"/>
      <c r="I3" s="1455"/>
      <c r="J3" s="1455"/>
    </row>
    <row r="4" spans="1:10" s="58" customFormat="1" ht="15" customHeight="1" thickBot="1" x14ac:dyDescent="0.35">
      <c r="A4" s="152"/>
      <c r="B4" s="1456"/>
      <c r="C4" s="1456"/>
      <c r="D4" s="1456"/>
      <c r="E4" s="1456"/>
      <c r="F4" s="1455"/>
      <c r="G4" s="1457"/>
      <c r="H4" s="1457"/>
      <c r="I4" s="1457"/>
      <c r="J4" s="1457" t="s">
        <v>17</v>
      </c>
    </row>
    <row r="5" spans="1:10" s="58" customFormat="1" ht="24" customHeight="1" x14ac:dyDescent="0.3">
      <c r="A5" s="152"/>
      <c r="B5" s="2088" t="s">
        <v>31</v>
      </c>
      <c r="C5" s="2089"/>
      <c r="D5" s="2089"/>
      <c r="E5" s="2089"/>
      <c r="F5" s="2089"/>
      <c r="G5" s="2090" t="s">
        <v>516</v>
      </c>
      <c r="H5" s="2091"/>
      <c r="I5" s="1458" t="s">
        <v>340</v>
      </c>
      <c r="J5" s="1459" t="s">
        <v>100</v>
      </c>
    </row>
    <row r="6" spans="1:10" s="58" customFormat="1" ht="43.5" customHeight="1" thickBot="1" x14ac:dyDescent="0.35">
      <c r="A6" s="152"/>
      <c r="B6" s="1460"/>
      <c r="C6" s="1461"/>
      <c r="D6" s="1461"/>
      <c r="E6" s="1461"/>
      <c r="F6" s="1461"/>
      <c r="G6" s="1462" t="s">
        <v>202</v>
      </c>
      <c r="H6" s="1462" t="s">
        <v>98</v>
      </c>
      <c r="I6" s="1463" t="s">
        <v>99</v>
      </c>
      <c r="J6" s="1464" t="s">
        <v>101</v>
      </c>
    </row>
    <row r="7" spans="1:10" s="58" customFormat="1" ht="24" customHeight="1" x14ac:dyDescent="0.3">
      <c r="A7" s="152"/>
      <c r="B7" s="1465" t="s">
        <v>335</v>
      </c>
      <c r="C7" s="1466"/>
      <c r="D7" s="1466"/>
      <c r="E7" s="1466"/>
      <c r="F7" s="1467"/>
      <c r="G7" s="1468">
        <v>193000</v>
      </c>
      <c r="H7" s="1468">
        <v>211429</v>
      </c>
      <c r="I7" s="1469">
        <v>142750</v>
      </c>
      <c r="J7" s="1470">
        <f t="shared" ref="J7:J15" si="0">+I7/H7*100</f>
        <v>67.516755033604653</v>
      </c>
    </row>
    <row r="8" spans="1:10" s="58" customFormat="1" ht="35.25" customHeight="1" x14ac:dyDescent="0.3">
      <c r="A8" s="152"/>
      <c r="B8" s="1471" t="s">
        <v>222</v>
      </c>
      <c r="C8" s="1472"/>
      <c r="D8" s="1472"/>
      <c r="E8" s="1472"/>
      <c r="F8" s="1473"/>
      <c r="G8" s="1474">
        <v>400000</v>
      </c>
      <c r="H8" s="1474">
        <v>464433</v>
      </c>
      <c r="I8" s="1475">
        <v>384363</v>
      </c>
      <c r="J8" s="1476">
        <f t="shared" si="0"/>
        <v>82.759623024203705</v>
      </c>
    </row>
    <row r="9" spans="1:10" s="58" customFormat="1" ht="24" customHeight="1" x14ac:dyDescent="0.3">
      <c r="A9" s="152"/>
      <c r="B9" s="1471" t="s">
        <v>333</v>
      </c>
      <c r="C9" s="1472"/>
      <c r="D9" s="1472"/>
      <c r="E9" s="1472"/>
      <c r="F9" s="1473"/>
      <c r="G9" s="1474">
        <v>3000</v>
      </c>
      <c r="H9" s="1474">
        <v>4027</v>
      </c>
      <c r="I9" s="1475"/>
      <c r="J9" s="1476">
        <f t="shared" si="0"/>
        <v>0</v>
      </c>
    </row>
    <row r="10" spans="1:10" s="58" customFormat="1" ht="24" customHeight="1" x14ac:dyDescent="0.3">
      <c r="A10" s="152"/>
      <c r="B10" s="1471" t="s">
        <v>304</v>
      </c>
      <c r="C10" s="1472"/>
      <c r="D10" s="1472"/>
      <c r="E10" s="1472"/>
      <c r="F10" s="1473"/>
      <c r="G10" s="1474">
        <v>10000</v>
      </c>
      <c r="H10" s="1474">
        <v>7351</v>
      </c>
      <c r="I10" s="1475">
        <v>3426</v>
      </c>
      <c r="J10" s="1476">
        <f t="shared" si="0"/>
        <v>46.605903958645087</v>
      </c>
    </row>
    <row r="11" spans="1:10" s="58" customFormat="1" ht="24" customHeight="1" x14ac:dyDescent="0.3">
      <c r="A11" s="152"/>
      <c r="B11" s="1471" t="s">
        <v>425</v>
      </c>
      <c r="C11" s="1472"/>
      <c r="D11" s="1472"/>
      <c r="E11" s="1472"/>
      <c r="F11" s="1473"/>
      <c r="G11" s="1474">
        <v>600000</v>
      </c>
      <c r="H11" s="1474">
        <v>614529</v>
      </c>
      <c r="I11" s="1475">
        <v>590703</v>
      </c>
      <c r="J11" s="1476">
        <f t="shared" si="0"/>
        <v>96.122884355335543</v>
      </c>
    </row>
    <row r="12" spans="1:10" s="58" customFormat="1" ht="24" customHeight="1" x14ac:dyDescent="0.3">
      <c r="A12" s="152"/>
      <c r="B12" s="1477" t="s">
        <v>482</v>
      </c>
      <c r="C12" s="1478"/>
      <c r="D12" s="1478"/>
      <c r="E12" s="1478"/>
      <c r="F12" s="1479"/>
      <c r="G12" s="1480"/>
      <c r="H12" s="1480">
        <v>6162</v>
      </c>
      <c r="I12" s="1481">
        <v>4498</v>
      </c>
      <c r="J12" s="1482">
        <f t="shared" si="0"/>
        <v>72.995780590717303</v>
      </c>
    </row>
    <row r="13" spans="1:10" s="58" customFormat="1" ht="24" customHeight="1" x14ac:dyDescent="0.3">
      <c r="A13" s="152"/>
      <c r="B13" s="1471" t="s">
        <v>96</v>
      </c>
      <c r="C13" s="1472"/>
      <c r="D13" s="1472"/>
      <c r="E13" s="1472"/>
      <c r="F13" s="1473"/>
      <c r="G13" s="1474">
        <v>3389</v>
      </c>
      <c r="H13" s="1474">
        <v>3634</v>
      </c>
      <c r="I13" s="1475">
        <v>1018</v>
      </c>
      <c r="J13" s="1476">
        <f t="shared" si="0"/>
        <v>28.013208585580628</v>
      </c>
    </row>
    <row r="14" spans="1:10" s="58" customFormat="1" ht="24" customHeight="1" x14ac:dyDescent="0.3">
      <c r="A14" s="152"/>
      <c r="B14" s="1471" t="s">
        <v>139</v>
      </c>
      <c r="C14" s="1472"/>
      <c r="D14" s="1472"/>
      <c r="E14" s="1472"/>
      <c r="F14" s="1473"/>
      <c r="G14" s="1474">
        <v>1500</v>
      </c>
      <c r="H14" s="1474">
        <v>2677</v>
      </c>
      <c r="I14" s="1475">
        <v>1356</v>
      </c>
      <c r="J14" s="1476">
        <f t="shared" si="0"/>
        <v>50.653716847217034</v>
      </c>
    </row>
    <row r="15" spans="1:10" s="58" customFormat="1" ht="24" customHeight="1" x14ac:dyDescent="0.3">
      <c r="A15" s="152"/>
      <c r="B15" s="1471" t="s">
        <v>97</v>
      </c>
      <c r="C15" s="1472"/>
      <c r="D15" s="1472"/>
      <c r="E15" s="1472"/>
      <c r="F15" s="1473"/>
      <c r="G15" s="1474">
        <v>3000</v>
      </c>
      <c r="H15" s="1474">
        <v>4719</v>
      </c>
      <c r="I15" s="1475">
        <v>2841</v>
      </c>
      <c r="J15" s="1476">
        <f t="shared" si="0"/>
        <v>60.203432930705659</v>
      </c>
    </row>
    <row r="16" spans="1:10" s="58" customFormat="1" ht="24" customHeight="1" x14ac:dyDescent="0.3">
      <c r="A16" s="152"/>
      <c r="B16" s="1471" t="s">
        <v>314</v>
      </c>
      <c r="C16" s="1472"/>
      <c r="D16" s="1472"/>
      <c r="E16" s="1472"/>
      <c r="F16" s="1473"/>
      <c r="G16" s="1474">
        <v>3500</v>
      </c>
      <c r="H16" s="1474">
        <v>4221</v>
      </c>
      <c r="I16" s="1475">
        <v>2809</v>
      </c>
      <c r="J16" s="1476">
        <f t="shared" ref="J16:J27" si="1">+I16/H16*100</f>
        <v>66.548211324330737</v>
      </c>
    </row>
    <row r="17" spans="1:10" s="58" customFormat="1" ht="24" customHeight="1" x14ac:dyDescent="0.3">
      <c r="A17" s="152"/>
      <c r="B17" s="1471" t="s">
        <v>198</v>
      </c>
      <c r="C17" s="1472"/>
      <c r="D17" s="1472"/>
      <c r="E17" s="1472"/>
      <c r="F17" s="1473"/>
      <c r="G17" s="1483">
        <v>1000</v>
      </c>
      <c r="H17" s="1483">
        <v>2338</v>
      </c>
      <c r="I17" s="1484"/>
      <c r="J17" s="1485">
        <f t="shared" si="1"/>
        <v>0</v>
      </c>
    </row>
    <row r="18" spans="1:10" s="58" customFormat="1" ht="24" customHeight="1" x14ac:dyDescent="0.3">
      <c r="A18" s="152"/>
      <c r="B18" s="1486" t="s">
        <v>63</v>
      </c>
      <c r="C18" s="1487"/>
      <c r="D18" s="1487"/>
      <c r="E18" s="1487"/>
      <c r="F18" s="1488"/>
      <c r="G18" s="1474">
        <v>50000</v>
      </c>
      <c r="H18" s="1474">
        <v>76066</v>
      </c>
      <c r="I18" s="1489">
        <v>59737</v>
      </c>
      <c r="J18" s="1490">
        <f t="shared" si="1"/>
        <v>78.533115978229432</v>
      </c>
    </row>
    <row r="19" spans="1:10" s="58" customFormat="1" ht="24" customHeight="1" thickBot="1" x14ac:dyDescent="0.35">
      <c r="A19" s="152"/>
      <c r="B19" s="1477" t="s">
        <v>403</v>
      </c>
      <c r="C19" s="1478"/>
      <c r="D19" s="1478"/>
      <c r="E19" s="1478"/>
      <c r="F19" s="1479"/>
      <c r="G19" s="1480">
        <v>600</v>
      </c>
      <c r="H19" s="1480">
        <v>907</v>
      </c>
      <c r="I19" s="1481">
        <v>857</v>
      </c>
      <c r="J19" s="1491">
        <f t="shared" si="1"/>
        <v>94.487320837927228</v>
      </c>
    </row>
    <row r="20" spans="1:10" s="58" customFormat="1" ht="24" customHeight="1" thickBot="1" x14ac:dyDescent="0.35">
      <c r="A20" s="152"/>
      <c r="B20" s="2085" t="s">
        <v>108</v>
      </c>
      <c r="C20" s="2086"/>
      <c r="D20" s="2086"/>
      <c r="E20" s="2086"/>
      <c r="F20" s="2087"/>
      <c r="G20" s="1492">
        <f>SUM(G7:G19)</f>
        <v>1268989</v>
      </c>
      <c r="H20" s="1492">
        <f>SUM(H7:H19)</f>
        <v>1402493</v>
      </c>
      <c r="I20" s="1492">
        <f>SUM(I7:I19)</f>
        <v>1194358</v>
      </c>
      <c r="J20" s="1493">
        <f t="shared" si="1"/>
        <v>85.159640725479562</v>
      </c>
    </row>
    <row r="21" spans="1:10" s="58" customFormat="1" ht="24" customHeight="1" x14ac:dyDescent="0.3">
      <c r="A21" s="152"/>
      <c r="B21" s="1494" t="s">
        <v>107</v>
      </c>
      <c r="C21" s="1495"/>
      <c r="D21" s="1495"/>
      <c r="E21" s="1495"/>
      <c r="F21" s="1495"/>
      <c r="G21" s="1496">
        <v>1000</v>
      </c>
      <c r="H21" s="1496">
        <v>1235</v>
      </c>
      <c r="I21" s="1496">
        <v>555</v>
      </c>
      <c r="J21" s="1497">
        <f t="shared" si="1"/>
        <v>44.939271255060731</v>
      </c>
    </row>
    <row r="22" spans="1:10" s="58" customFormat="1" ht="24" customHeight="1" x14ac:dyDescent="0.3">
      <c r="A22" s="152"/>
      <c r="B22" s="1498" t="s">
        <v>483</v>
      </c>
      <c r="C22" s="1499"/>
      <c r="D22" s="1499"/>
      <c r="E22" s="1499"/>
      <c r="F22" s="1499"/>
      <c r="G22" s="1500">
        <v>100</v>
      </c>
      <c r="H22" s="1500">
        <v>0</v>
      </c>
      <c r="I22" s="1500"/>
      <c r="J22" s="1491"/>
    </row>
    <row r="23" spans="1:10" s="58" customFormat="1" ht="24" customHeight="1" x14ac:dyDescent="0.3">
      <c r="A23" s="152"/>
      <c r="B23" s="1477" t="s">
        <v>404</v>
      </c>
      <c r="C23" s="1478"/>
      <c r="D23" s="1478"/>
      <c r="E23" s="1478"/>
      <c r="F23" s="1478"/>
      <c r="G23" s="1501"/>
      <c r="H23" s="1501">
        <v>413</v>
      </c>
      <c r="I23" s="1501">
        <v>413</v>
      </c>
      <c r="J23" s="1491">
        <f t="shared" si="1"/>
        <v>100</v>
      </c>
    </row>
    <row r="24" spans="1:10" s="58" customFormat="1" ht="24" customHeight="1" x14ac:dyDescent="0.3">
      <c r="A24" s="152"/>
      <c r="B24" s="1498" t="s">
        <v>571</v>
      </c>
      <c r="C24" s="1499"/>
      <c r="D24" s="1499"/>
      <c r="E24" s="1499"/>
      <c r="F24" s="1499"/>
      <c r="G24" s="1500"/>
      <c r="H24" s="1500">
        <v>5000</v>
      </c>
      <c r="I24" s="1500"/>
      <c r="J24" s="1491">
        <f t="shared" si="1"/>
        <v>0</v>
      </c>
    </row>
    <row r="25" spans="1:10" s="58" customFormat="1" ht="24" customHeight="1" x14ac:dyDescent="0.3">
      <c r="A25" s="152"/>
      <c r="B25" s="1477" t="s">
        <v>572</v>
      </c>
      <c r="C25" s="1478"/>
      <c r="D25" s="1478"/>
      <c r="E25" s="1478"/>
      <c r="F25" s="1478"/>
      <c r="G25" s="1501"/>
      <c r="H25" s="1501">
        <v>4100</v>
      </c>
      <c r="I25" s="1501">
        <v>706</v>
      </c>
      <c r="J25" s="1491">
        <f t="shared" si="1"/>
        <v>17.219512195121951</v>
      </c>
    </row>
    <row r="26" spans="1:10" s="58" customFormat="1" ht="24" customHeight="1" thickBot="1" x14ac:dyDescent="0.35">
      <c r="A26" s="152"/>
      <c r="B26" s="1502" t="s">
        <v>227</v>
      </c>
      <c r="C26" s="1455"/>
      <c r="D26" s="1455"/>
      <c r="E26" s="1455"/>
      <c r="F26" s="1455"/>
      <c r="G26" s="1503">
        <v>1200</v>
      </c>
      <c r="H26" s="1503">
        <v>3530</v>
      </c>
      <c r="I26" s="1503">
        <v>1692</v>
      </c>
      <c r="J26" s="1504">
        <f t="shared" si="1"/>
        <v>47.932011331444755</v>
      </c>
    </row>
    <row r="27" spans="1:10" s="58" customFormat="1" ht="47.25" customHeight="1" thickBot="1" x14ac:dyDescent="0.35">
      <c r="A27" s="152"/>
      <c r="B27" s="2082" t="s">
        <v>367</v>
      </c>
      <c r="C27" s="2083"/>
      <c r="D27" s="2083"/>
      <c r="E27" s="2083"/>
      <c r="F27" s="2084"/>
      <c r="G27" s="1505">
        <f>+G20+G21+G26+G23+G22</f>
        <v>1271289</v>
      </c>
      <c r="H27" s="1505">
        <f>+H20+H21+H26+H23+H22+H24+H25</f>
        <v>1416771</v>
      </c>
      <c r="I27" s="1505">
        <f>+I20+I21+I26+I23+I22+I24+I25</f>
        <v>1197724</v>
      </c>
      <c r="J27" s="1493">
        <f t="shared" si="1"/>
        <v>84.53899748089141</v>
      </c>
    </row>
    <row r="29" spans="1:10" ht="15" customHeight="1" x14ac:dyDescent="0.2">
      <c r="H29" s="3"/>
      <c r="I29" s="3"/>
    </row>
    <row r="30" spans="1:10" ht="15" customHeight="1" x14ac:dyDescent="0.2">
      <c r="H30" s="3"/>
      <c r="I30" s="3"/>
    </row>
    <row r="31" spans="1:10" ht="15" customHeight="1" x14ac:dyDescent="0.2">
      <c r="I31" s="3"/>
    </row>
    <row r="32" spans="1:10" ht="15" customHeight="1" x14ac:dyDescent="0.2">
      <c r="I32" s="3"/>
    </row>
    <row r="33" spans="9:9" ht="15" customHeight="1" x14ac:dyDescent="0.2">
      <c r="I33" s="3"/>
    </row>
    <row r="49" spans="7:7" ht="15" customHeight="1" x14ac:dyDescent="0.2">
      <c r="G49" s="969"/>
    </row>
    <row r="50" spans="7:7" ht="15" customHeight="1" x14ac:dyDescent="0.2">
      <c r="G50" s="969"/>
    </row>
  </sheetData>
  <mergeCells count="6">
    <mergeCell ref="B27:F27"/>
    <mergeCell ref="B20:F20"/>
    <mergeCell ref="B1:G1"/>
    <mergeCell ref="B5:F5"/>
    <mergeCell ref="G5:H5"/>
    <mergeCell ref="B2:J2"/>
  </mergeCells>
  <phoneticPr fontId="0" type="noConversion"/>
  <printOptions horizontalCentered="1" verticalCentered="1"/>
  <pageMargins left="0.27559055118110237" right="0" top="0.59055118110236227" bottom="0.59055118110236227" header="0.31496062992125984" footer="0.31496062992125984"/>
  <pageSetup paperSize="9" scale="80" orientation="portrait" r:id="rId1"/>
  <headerFooter alignWithMargins="0">
    <oddHeader xml:space="preserve">&amp;L
&amp;R&amp;"Calibri,Félkövér"&amp;11 15. melléklet a 13/2023. (V.26.) önkormányzati rendelethez 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unka16"/>
  <dimension ref="A1:F147"/>
  <sheetViews>
    <sheetView view="pageLayout" zoomScaleNormal="100" workbookViewId="0">
      <selection activeCell="B24" sqref="B24"/>
    </sheetView>
  </sheetViews>
  <sheetFormatPr defaultColWidth="12" defaultRowHeight="15" customHeight="1" x14ac:dyDescent="0.2"/>
  <cols>
    <col min="1" max="1" width="12" style="10" bestFit="1" customWidth="1"/>
    <col min="2" max="2" width="76.83203125" style="1" customWidth="1"/>
    <col min="3" max="3" width="17.83203125" style="1" customWidth="1"/>
    <col min="4" max="5" width="17.83203125" style="3" customWidth="1"/>
    <col min="6" max="6" width="17.83203125" style="1" customWidth="1"/>
    <col min="7" max="16384" width="12" style="1"/>
  </cols>
  <sheetData>
    <row r="1" spans="1:6" s="58" customFormat="1" ht="15" customHeight="1" x14ac:dyDescent="0.25">
      <c r="A1" s="152"/>
      <c r="B1" s="2006"/>
      <c r="C1" s="2006"/>
      <c r="D1" s="152"/>
      <c r="E1" s="152"/>
    </row>
    <row r="2" spans="1:6" s="58" customFormat="1" ht="24" customHeight="1" x14ac:dyDescent="0.25">
      <c r="A2" s="152"/>
      <c r="B2" s="2095" t="s">
        <v>305</v>
      </c>
      <c r="C2" s="2095"/>
      <c r="D2" s="2095"/>
      <c r="E2" s="2095"/>
      <c r="F2" s="2095"/>
    </row>
    <row r="3" spans="1:6" s="58" customFormat="1" ht="12" customHeight="1" x14ac:dyDescent="0.25">
      <c r="A3" s="152"/>
      <c r="B3" s="57"/>
      <c r="C3" s="57"/>
      <c r="D3" s="152"/>
      <c r="E3" s="152"/>
    </row>
    <row r="4" spans="1:6" s="58" customFormat="1" ht="15" customHeight="1" thickBot="1" x14ac:dyDescent="0.3">
      <c r="A4" s="152"/>
      <c r="B4" s="60"/>
      <c r="C4" s="155"/>
      <c r="D4" s="61"/>
      <c r="E4" s="61"/>
      <c r="F4" s="155" t="s">
        <v>17</v>
      </c>
    </row>
    <row r="5" spans="1:6" s="1520" customFormat="1" ht="24" customHeight="1" x14ac:dyDescent="0.25">
      <c r="A5" s="1523"/>
      <c r="B5" s="1691" t="s">
        <v>31</v>
      </c>
      <c r="C5" s="2093" t="s">
        <v>516</v>
      </c>
      <c r="D5" s="2094"/>
      <c r="E5" s="1679" t="s">
        <v>340</v>
      </c>
      <c r="F5" s="1692" t="s">
        <v>100</v>
      </c>
    </row>
    <row r="6" spans="1:6" s="1520" customFormat="1" ht="36" customHeight="1" thickBot="1" x14ac:dyDescent="0.3">
      <c r="A6" s="1523"/>
      <c r="B6" s="1525"/>
      <c r="C6" s="1682" t="s">
        <v>202</v>
      </c>
      <c r="D6" s="1693" t="s">
        <v>98</v>
      </c>
      <c r="E6" s="1683" t="s">
        <v>99</v>
      </c>
      <c r="F6" s="1684" t="s">
        <v>101</v>
      </c>
    </row>
    <row r="7" spans="1:6" s="58" customFormat="1" ht="24" customHeight="1" x14ac:dyDescent="0.3">
      <c r="A7" s="152"/>
      <c r="B7" s="1687" t="s">
        <v>65</v>
      </c>
      <c r="C7" s="508">
        <v>40000</v>
      </c>
      <c r="D7" s="508">
        <v>40002</v>
      </c>
      <c r="E7" s="369">
        <v>39158</v>
      </c>
      <c r="F7" s="457">
        <f>+E7/D7*100</f>
        <v>97.890105494725262</v>
      </c>
    </row>
    <row r="8" spans="1:6" s="58" customFormat="1" ht="24" customHeight="1" x14ac:dyDescent="0.3">
      <c r="A8" s="152"/>
      <c r="B8" s="1688" t="s">
        <v>203</v>
      </c>
      <c r="C8" s="508">
        <v>25000</v>
      </c>
      <c r="D8" s="508">
        <v>8000</v>
      </c>
      <c r="E8" s="369">
        <v>6036</v>
      </c>
      <c r="F8" s="457">
        <f>+E8/D8*100</f>
        <v>75.449999999999989</v>
      </c>
    </row>
    <row r="9" spans="1:6" s="58" customFormat="1" ht="24" customHeight="1" x14ac:dyDescent="0.3">
      <c r="A9" s="152"/>
      <c r="B9" s="1688" t="s">
        <v>204</v>
      </c>
      <c r="C9" s="508">
        <v>17000</v>
      </c>
      <c r="D9" s="508">
        <v>29700</v>
      </c>
      <c r="E9" s="369">
        <v>10617</v>
      </c>
      <c r="F9" s="457">
        <f>+E9/D9*100</f>
        <v>35.747474747474747</v>
      </c>
    </row>
    <row r="10" spans="1:6" s="58" customFormat="1" ht="24" customHeight="1" x14ac:dyDescent="0.3">
      <c r="A10" s="152"/>
      <c r="B10" s="1688" t="s">
        <v>42</v>
      </c>
      <c r="C10" s="508">
        <v>8000</v>
      </c>
      <c r="D10" s="508">
        <v>8000</v>
      </c>
      <c r="E10" s="369">
        <v>7999</v>
      </c>
      <c r="F10" s="457">
        <f t="shared" ref="F10:F14" si="0">+E10/D10*100</f>
        <v>99.987499999999997</v>
      </c>
    </row>
    <row r="11" spans="1:6" s="58" customFormat="1" ht="24" customHeight="1" x14ac:dyDescent="0.3">
      <c r="A11" s="152"/>
      <c r="B11" s="1688" t="s">
        <v>344</v>
      </c>
      <c r="C11" s="508">
        <v>100000</v>
      </c>
      <c r="D11" s="508">
        <v>100000</v>
      </c>
      <c r="E11" s="369">
        <v>99645</v>
      </c>
      <c r="F11" s="457">
        <f t="shared" si="0"/>
        <v>99.644999999999996</v>
      </c>
    </row>
    <row r="12" spans="1:6" s="58" customFormat="1" ht="24" customHeight="1" x14ac:dyDescent="0.3">
      <c r="A12" s="152"/>
      <c r="B12" s="1688" t="s">
        <v>315</v>
      </c>
      <c r="C12" s="508">
        <v>25000</v>
      </c>
      <c r="D12" s="508">
        <v>25000</v>
      </c>
      <c r="E12" s="369">
        <v>14572</v>
      </c>
      <c r="F12" s="457">
        <f t="shared" si="0"/>
        <v>58.287999999999997</v>
      </c>
    </row>
    <row r="13" spans="1:6" s="58" customFormat="1" ht="24" customHeight="1" x14ac:dyDescent="0.3">
      <c r="A13" s="152"/>
      <c r="B13" s="1688" t="s">
        <v>405</v>
      </c>
      <c r="C13" s="508">
        <v>6000</v>
      </c>
      <c r="D13" s="508">
        <v>6000</v>
      </c>
      <c r="E13" s="369"/>
      <c r="F13" s="457">
        <f t="shared" si="0"/>
        <v>0</v>
      </c>
    </row>
    <row r="14" spans="1:6" s="58" customFormat="1" ht="24" customHeight="1" x14ac:dyDescent="0.3">
      <c r="A14" s="152"/>
      <c r="B14" s="1689" t="s">
        <v>406</v>
      </c>
      <c r="C14" s="508">
        <v>5000</v>
      </c>
      <c r="D14" s="508">
        <v>5000</v>
      </c>
      <c r="E14" s="369"/>
      <c r="F14" s="457">
        <f t="shared" si="0"/>
        <v>0</v>
      </c>
    </row>
    <row r="15" spans="1:6" s="58" customFormat="1" ht="24" customHeight="1" x14ac:dyDescent="0.3">
      <c r="A15" s="152"/>
      <c r="B15" s="1688" t="s">
        <v>106</v>
      </c>
      <c r="C15" s="508">
        <v>500</v>
      </c>
      <c r="D15" s="508">
        <v>915</v>
      </c>
      <c r="E15" s="369">
        <v>739</v>
      </c>
      <c r="F15" s="457">
        <f t="shared" ref="F15:F21" si="1">+E15/D15*100</f>
        <v>80.765027322404364</v>
      </c>
    </row>
    <row r="16" spans="1:6" s="58" customFormat="1" ht="24" customHeight="1" x14ac:dyDescent="0.3">
      <c r="A16" s="152"/>
      <c r="B16" s="1688" t="s">
        <v>205</v>
      </c>
      <c r="C16" s="508">
        <v>1000</v>
      </c>
      <c r="D16" s="508">
        <v>1000</v>
      </c>
      <c r="E16" s="369"/>
      <c r="F16" s="457">
        <f t="shared" si="1"/>
        <v>0</v>
      </c>
    </row>
    <row r="17" spans="1:6" s="58" customFormat="1" ht="24" customHeight="1" x14ac:dyDescent="0.3">
      <c r="A17" s="152"/>
      <c r="B17" s="1688" t="s">
        <v>44</v>
      </c>
      <c r="C17" s="508">
        <v>3000</v>
      </c>
      <c r="D17" s="508">
        <v>8000</v>
      </c>
      <c r="E17" s="369">
        <v>8000</v>
      </c>
      <c r="F17" s="457">
        <f t="shared" si="1"/>
        <v>100</v>
      </c>
    </row>
    <row r="18" spans="1:6" s="58" customFormat="1" ht="24" customHeight="1" x14ac:dyDescent="0.3">
      <c r="A18" s="152"/>
      <c r="B18" s="1688" t="s">
        <v>54</v>
      </c>
      <c r="C18" s="508">
        <v>2000</v>
      </c>
      <c r="D18" s="508">
        <v>2000</v>
      </c>
      <c r="E18" s="369"/>
      <c r="F18" s="457">
        <f t="shared" si="1"/>
        <v>0</v>
      </c>
    </row>
    <row r="19" spans="1:6" s="58" customFormat="1" ht="24" customHeight="1" x14ac:dyDescent="0.3">
      <c r="A19" s="152"/>
      <c r="B19" s="1688" t="s">
        <v>206</v>
      </c>
      <c r="C19" s="508">
        <v>55000</v>
      </c>
      <c r="D19" s="508">
        <v>205000</v>
      </c>
      <c r="E19" s="369">
        <v>120472</v>
      </c>
      <c r="F19" s="457">
        <f t="shared" si="1"/>
        <v>58.766829268292689</v>
      </c>
    </row>
    <row r="20" spans="1:6" s="58" customFormat="1" ht="24" customHeight="1" x14ac:dyDescent="0.3">
      <c r="A20" s="152"/>
      <c r="B20" s="1688" t="s">
        <v>64</v>
      </c>
      <c r="C20" s="508">
        <v>19000</v>
      </c>
      <c r="D20" s="508">
        <v>25000</v>
      </c>
      <c r="E20" s="369">
        <v>17196</v>
      </c>
      <c r="F20" s="457">
        <f t="shared" si="1"/>
        <v>68.784000000000006</v>
      </c>
    </row>
    <row r="21" spans="1:6" s="58" customFormat="1" ht="24" customHeight="1" x14ac:dyDescent="0.3">
      <c r="A21" s="152"/>
      <c r="B21" s="1688" t="s">
        <v>105</v>
      </c>
      <c r="C21" s="508">
        <v>15000</v>
      </c>
      <c r="D21" s="508">
        <v>15000</v>
      </c>
      <c r="E21" s="369">
        <v>15000</v>
      </c>
      <c r="F21" s="457">
        <f t="shared" si="1"/>
        <v>100</v>
      </c>
    </row>
    <row r="22" spans="1:6" s="58" customFormat="1" ht="41.25" customHeight="1" x14ac:dyDescent="0.3">
      <c r="A22" s="152"/>
      <c r="B22" s="1689" t="s">
        <v>134</v>
      </c>
      <c r="C22" s="508">
        <v>4000</v>
      </c>
      <c r="D22" s="508">
        <v>4000</v>
      </c>
      <c r="E22" s="369">
        <v>3562</v>
      </c>
      <c r="F22" s="457">
        <f t="shared" ref="F22:F28" si="2">+E22/D22*100</f>
        <v>89.05</v>
      </c>
    </row>
    <row r="23" spans="1:6" s="58" customFormat="1" ht="24" customHeight="1" x14ac:dyDescent="0.3">
      <c r="A23" s="152"/>
      <c r="B23" s="1688" t="s">
        <v>43</v>
      </c>
      <c r="C23" s="508">
        <v>10000</v>
      </c>
      <c r="D23" s="508">
        <v>17177</v>
      </c>
      <c r="E23" s="369">
        <v>7778</v>
      </c>
      <c r="F23" s="457">
        <f t="shared" si="2"/>
        <v>45.281481050241602</v>
      </c>
    </row>
    <row r="24" spans="1:6" s="58" customFormat="1" ht="41.25" customHeight="1" x14ac:dyDescent="0.3">
      <c r="A24" s="152"/>
      <c r="B24" s="1689" t="s">
        <v>316</v>
      </c>
      <c r="C24" s="508">
        <v>3000</v>
      </c>
      <c r="D24" s="508">
        <v>3000</v>
      </c>
      <c r="E24" s="369">
        <v>2849</v>
      </c>
      <c r="F24" s="457">
        <f t="shared" si="2"/>
        <v>94.966666666666669</v>
      </c>
    </row>
    <row r="25" spans="1:6" s="58" customFormat="1" ht="24" customHeight="1" x14ac:dyDescent="0.3">
      <c r="A25" s="152"/>
      <c r="B25" s="1690" t="s">
        <v>263</v>
      </c>
      <c r="C25" s="507">
        <v>10000</v>
      </c>
      <c r="D25" s="507">
        <v>25617</v>
      </c>
      <c r="E25" s="369">
        <v>24318</v>
      </c>
      <c r="F25" s="457">
        <f t="shared" si="2"/>
        <v>94.929148612249676</v>
      </c>
    </row>
    <row r="26" spans="1:6" s="58" customFormat="1" ht="24" customHeight="1" x14ac:dyDescent="0.3">
      <c r="A26" s="152"/>
      <c r="B26" s="1688" t="s">
        <v>176</v>
      </c>
      <c r="C26" s="508">
        <v>1500</v>
      </c>
      <c r="D26" s="508">
        <v>1500</v>
      </c>
      <c r="E26" s="369">
        <v>867</v>
      </c>
      <c r="F26" s="457">
        <f t="shared" si="2"/>
        <v>57.8</v>
      </c>
    </row>
    <row r="27" spans="1:6" s="58" customFormat="1" ht="33.75" customHeight="1" x14ac:dyDescent="0.3">
      <c r="A27" s="152"/>
      <c r="B27" s="1668" t="s">
        <v>497</v>
      </c>
      <c r="C27" s="506"/>
      <c r="D27" s="506">
        <v>10000</v>
      </c>
      <c r="E27" s="436"/>
      <c r="F27" s="509">
        <f t="shared" si="2"/>
        <v>0</v>
      </c>
    </row>
    <row r="28" spans="1:6" s="58" customFormat="1" ht="26.25" customHeight="1" thickBot="1" x14ac:dyDescent="0.35">
      <c r="A28" s="152"/>
      <c r="B28" s="1688" t="s">
        <v>595</v>
      </c>
      <c r="C28" s="508"/>
      <c r="D28" s="508">
        <v>10000</v>
      </c>
      <c r="E28" s="369">
        <v>8001</v>
      </c>
      <c r="F28" s="457">
        <f t="shared" si="2"/>
        <v>80.010000000000005</v>
      </c>
    </row>
    <row r="29" spans="1:6" s="58" customFormat="1" ht="24" customHeight="1" thickBot="1" x14ac:dyDescent="0.35">
      <c r="A29" s="152"/>
      <c r="B29" s="195" t="s">
        <v>368</v>
      </c>
      <c r="C29" s="449">
        <f>SUM(C7:C28)</f>
        <v>350000</v>
      </c>
      <c r="D29" s="449">
        <f>SUM(D7:D28)</f>
        <v>549911</v>
      </c>
      <c r="E29" s="449">
        <f>SUM(E7:E28)</f>
        <v>386809</v>
      </c>
      <c r="F29" s="379">
        <f>E29/D29*100</f>
        <v>70.340291428976684</v>
      </c>
    </row>
    <row r="30" spans="1:6" ht="15" customHeight="1" x14ac:dyDescent="0.2">
      <c r="C30" s="5"/>
    </row>
    <row r="31" spans="1:6" ht="15" hidden="1" customHeight="1" x14ac:dyDescent="0.2"/>
    <row r="33" spans="3:6" ht="15" customHeight="1" x14ac:dyDescent="0.2">
      <c r="C33" s="3"/>
    </row>
    <row r="34" spans="3:6" ht="15" customHeight="1" x14ac:dyDescent="0.2">
      <c r="C34" s="3"/>
    </row>
    <row r="35" spans="3:6" ht="15" customHeight="1" x14ac:dyDescent="0.2">
      <c r="C35" s="3"/>
      <c r="F35" s="3"/>
    </row>
    <row r="36" spans="3:6" ht="15" customHeight="1" x14ac:dyDescent="0.2">
      <c r="C36" s="3"/>
    </row>
    <row r="37" spans="3:6" ht="15" customHeight="1" x14ac:dyDescent="0.2">
      <c r="C37" s="3"/>
    </row>
    <row r="38" spans="3:6" ht="15" customHeight="1" x14ac:dyDescent="0.2">
      <c r="C38" s="3"/>
    </row>
    <row r="39" spans="3:6" ht="15" customHeight="1" x14ac:dyDescent="0.2">
      <c r="C39" s="3"/>
    </row>
    <row r="40" spans="3:6" ht="15" customHeight="1" x14ac:dyDescent="0.2">
      <c r="C40" s="3"/>
    </row>
    <row r="41" spans="3:6" ht="15" customHeight="1" x14ac:dyDescent="0.2">
      <c r="C41" s="3"/>
    </row>
    <row r="42" spans="3:6" ht="15" customHeight="1" x14ac:dyDescent="0.2">
      <c r="C42" s="3"/>
    </row>
    <row r="43" spans="3:6" ht="15" customHeight="1" x14ac:dyDescent="0.2">
      <c r="C43" s="3"/>
    </row>
    <row r="44" spans="3:6" ht="15" customHeight="1" x14ac:dyDescent="0.2">
      <c r="C44" s="3"/>
    </row>
    <row r="45" spans="3:6" ht="15" customHeight="1" x14ac:dyDescent="0.2">
      <c r="C45" s="3"/>
    </row>
    <row r="46" spans="3:6" ht="15" customHeight="1" x14ac:dyDescent="0.2">
      <c r="C46" s="3"/>
    </row>
    <row r="47" spans="3:6" ht="15" customHeight="1" x14ac:dyDescent="0.2">
      <c r="C47" s="3"/>
    </row>
    <row r="48" spans="3:6" ht="15" customHeight="1" x14ac:dyDescent="0.2">
      <c r="C48" s="3"/>
    </row>
    <row r="49" spans="3:3" ht="15" customHeight="1" x14ac:dyDescent="0.2">
      <c r="C49" s="3"/>
    </row>
    <row r="50" spans="3:3" ht="15" customHeight="1" x14ac:dyDescent="0.2">
      <c r="C50" s="3"/>
    </row>
    <row r="51" spans="3:3" ht="15" customHeight="1" x14ac:dyDescent="0.2">
      <c r="C51" s="3"/>
    </row>
    <row r="52" spans="3:3" ht="15" customHeight="1" x14ac:dyDescent="0.2">
      <c r="C52" s="3"/>
    </row>
    <row r="53" spans="3:3" ht="15" customHeight="1" x14ac:dyDescent="0.2">
      <c r="C53" s="3"/>
    </row>
    <row r="54" spans="3:3" ht="15" customHeight="1" x14ac:dyDescent="0.2">
      <c r="C54" s="3"/>
    </row>
    <row r="55" spans="3:3" ht="15" customHeight="1" x14ac:dyDescent="0.2">
      <c r="C55" s="3"/>
    </row>
    <row r="56" spans="3:3" ht="15" customHeight="1" x14ac:dyDescent="0.2">
      <c r="C56" s="3"/>
    </row>
    <row r="57" spans="3:3" ht="15" customHeight="1" x14ac:dyDescent="0.2">
      <c r="C57" s="3"/>
    </row>
    <row r="58" spans="3:3" ht="15" customHeight="1" x14ac:dyDescent="0.2">
      <c r="C58" s="3"/>
    </row>
    <row r="59" spans="3:3" ht="15" customHeight="1" x14ac:dyDescent="0.2">
      <c r="C59" s="3"/>
    </row>
    <row r="60" spans="3:3" ht="15" customHeight="1" x14ac:dyDescent="0.2">
      <c r="C60" s="3"/>
    </row>
    <row r="61" spans="3:3" ht="15" customHeight="1" x14ac:dyDescent="0.2">
      <c r="C61" s="3"/>
    </row>
    <row r="62" spans="3:3" ht="15" customHeight="1" x14ac:dyDescent="0.2">
      <c r="C62" s="3"/>
    </row>
    <row r="63" spans="3:3" ht="15" customHeight="1" x14ac:dyDescent="0.2">
      <c r="C63" s="3"/>
    </row>
    <row r="64" spans="3:3" ht="15" customHeight="1" x14ac:dyDescent="0.2">
      <c r="C64" s="3"/>
    </row>
    <row r="65" spans="3:3" ht="15" customHeight="1" x14ac:dyDescent="0.2">
      <c r="C65" s="3"/>
    </row>
    <row r="66" spans="3:3" ht="15" customHeight="1" x14ac:dyDescent="0.2">
      <c r="C66" s="3"/>
    </row>
    <row r="67" spans="3:3" ht="15" customHeight="1" x14ac:dyDescent="0.2">
      <c r="C67" s="3"/>
    </row>
    <row r="68" spans="3:3" ht="15" customHeight="1" x14ac:dyDescent="0.2">
      <c r="C68" s="3"/>
    </row>
    <row r="69" spans="3:3" ht="15" customHeight="1" x14ac:dyDescent="0.2">
      <c r="C69" s="3"/>
    </row>
    <row r="70" spans="3:3" ht="15" customHeight="1" x14ac:dyDescent="0.2">
      <c r="C70" s="3"/>
    </row>
    <row r="71" spans="3:3" ht="15" customHeight="1" x14ac:dyDescent="0.2">
      <c r="C71" s="3"/>
    </row>
    <row r="72" spans="3:3" ht="15" customHeight="1" x14ac:dyDescent="0.2">
      <c r="C72" s="3"/>
    </row>
    <row r="73" spans="3:3" ht="15" customHeight="1" x14ac:dyDescent="0.2">
      <c r="C73" s="3"/>
    </row>
    <row r="74" spans="3:3" ht="15" customHeight="1" x14ac:dyDescent="0.2">
      <c r="C74" s="3"/>
    </row>
    <row r="75" spans="3:3" ht="15" customHeight="1" x14ac:dyDescent="0.2">
      <c r="C75" s="3"/>
    </row>
    <row r="76" spans="3:3" ht="15" customHeight="1" x14ac:dyDescent="0.2">
      <c r="C76" s="3"/>
    </row>
    <row r="77" spans="3:3" ht="15" customHeight="1" x14ac:dyDescent="0.2">
      <c r="C77" s="3"/>
    </row>
    <row r="78" spans="3:3" ht="15" customHeight="1" x14ac:dyDescent="0.2">
      <c r="C78" s="3"/>
    </row>
    <row r="79" spans="3:3" ht="15" customHeight="1" x14ac:dyDescent="0.2">
      <c r="C79" s="3"/>
    </row>
    <row r="80" spans="3:3" ht="15" customHeight="1" x14ac:dyDescent="0.2">
      <c r="C80" s="3"/>
    </row>
    <row r="81" spans="3:3" ht="15" customHeight="1" x14ac:dyDescent="0.2">
      <c r="C81" s="3"/>
    </row>
    <row r="82" spans="3:3" ht="15" customHeight="1" x14ac:dyDescent="0.2">
      <c r="C82" s="3"/>
    </row>
    <row r="83" spans="3:3" ht="15" customHeight="1" x14ac:dyDescent="0.2">
      <c r="C83" s="3"/>
    </row>
    <row r="84" spans="3:3" ht="15" customHeight="1" x14ac:dyDescent="0.2">
      <c r="C84" s="3"/>
    </row>
    <row r="85" spans="3:3" ht="15" customHeight="1" x14ac:dyDescent="0.2">
      <c r="C85" s="3"/>
    </row>
    <row r="86" spans="3:3" ht="15" customHeight="1" x14ac:dyDescent="0.2">
      <c r="C86" s="3"/>
    </row>
    <row r="87" spans="3:3" ht="15" customHeight="1" x14ac:dyDescent="0.2">
      <c r="C87" s="3"/>
    </row>
    <row r="88" spans="3:3" ht="15" customHeight="1" x14ac:dyDescent="0.2">
      <c r="C88" s="3"/>
    </row>
    <row r="89" spans="3:3" ht="15" customHeight="1" x14ac:dyDescent="0.2">
      <c r="C89" s="3"/>
    </row>
    <row r="90" spans="3:3" ht="15" customHeight="1" x14ac:dyDescent="0.2">
      <c r="C90" s="3"/>
    </row>
    <row r="91" spans="3:3" ht="15" customHeight="1" x14ac:dyDescent="0.2">
      <c r="C91" s="3"/>
    </row>
    <row r="92" spans="3:3" ht="15" customHeight="1" x14ac:dyDescent="0.2">
      <c r="C92" s="3"/>
    </row>
    <row r="93" spans="3:3" ht="15" customHeight="1" x14ac:dyDescent="0.2">
      <c r="C93" s="3"/>
    </row>
    <row r="94" spans="3:3" ht="15" customHeight="1" x14ac:dyDescent="0.2">
      <c r="C94" s="3"/>
    </row>
    <row r="95" spans="3:3" ht="15" customHeight="1" x14ac:dyDescent="0.2">
      <c r="C95" s="3"/>
    </row>
    <row r="96" spans="3:3" ht="15" customHeight="1" x14ac:dyDescent="0.2">
      <c r="C96" s="3"/>
    </row>
    <row r="97" spans="3:3" ht="15" customHeight="1" x14ac:dyDescent="0.2">
      <c r="C97" s="3"/>
    </row>
    <row r="98" spans="3:3" ht="15" customHeight="1" x14ac:dyDescent="0.2">
      <c r="C98" s="3"/>
    </row>
    <row r="99" spans="3:3" ht="15" customHeight="1" x14ac:dyDescent="0.2">
      <c r="C99" s="3"/>
    </row>
    <row r="100" spans="3:3" ht="15" customHeight="1" x14ac:dyDescent="0.2">
      <c r="C100" s="3"/>
    </row>
    <row r="101" spans="3:3" ht="15" customHeight="1" x14ac:dyDescent="0.2">
      <c r="C101" s="3"/>
    </row>
    <row r="102" spans="3:3" ht="15" customHeight="1" x14ac:dyDescent="0.2">
      <c r="C102" s="3"/>
    </row>
    <row r="103" spans="3:3" ht="15" customHeight="1" x14ac:dyDescent="0.2">
      <c r="C103" s="3"/>
    </row>
    <row r="104" spans="3:3" ht="15" customHeight="1" x14ac:dyDescent="0.2">
      <c r="C104" s="3"/>
    </row>
    <row r="105" spans="3:3" ht="15" customHeight="1" x14ac:dyDescent="0.2">
      <c r="C105" s="3"/>
    </row>
    <row r="106" spans="3:3" ht="15" customHeight="1" x14ac:dyDescent="0.2">
      <c r="C106" s="3"/>
    </row>
    <row r="107" spans="3:3" ht="15" customHeight="1" x14ac:dyDescent="0.2">
      <c r="C107" s="3"/>
    </row>
    <row r="108" spans="3:3" ht="15" customHeight="1" x14ac:dyDescent="0.2">
      <c r="C108" s="3"/>
    </row>
    <row r="109" spans="3:3" ht="15" customHeight="1" x14ac:dyDescent="0.2">
      <c r="C109" s="3"/>
    </row>
    <row r="110" spans="3:3" ht="15" customHeight="1" x14ac:dyDescent="0.2">
      <c r="C110" s="3"/>
    </row>
    <row r="111" spans="3:3" ht="15" customHeight="1" x14ac:dyDescent="0.2">
      <c r="C111" s="3"/>
    </row>
    <row r="112" spans="3:3" ht="15" customHeight="1" x14ac:dyDescent="0.2">
      <c r="C112" s="3"/>
    </row>
    <row r="113" spans="3:3" ht="15" customHeight="1" x14ac:dyDescent="0.2">
      <c r="C113" s="3"/>
    </row>
    <row r="114" spans="3:3" ht="15" customHeight="1" x14ac:dyDescent="0.2">
      <c r="C114" s="3"/>
    </row>
    <row r="115" spans="3:3" ht="15" customHeight="1" x14ac:dyDescent="0.2">
      <c r="C115" s="3"/>
    </row>
    <row r="116" spans="3:3" ht="15" customHeight="1" x14ac:dyDescent="0.2">
      <c r="C116" s="3"/>
    </row>
    <row r="117" spans="3:3" ht="15" customHeight="1" x14ac:dyDescent="0.2">
      <c r="C117" s="3"/>
    </row>
    <row r="118" spans="3:3" ht="15" customHeight="1" x14ac:dyDescent="0.2">
      <c r="C118" s="3"/>
    </row>
    <row r="119" spans="3:3" ht="15" customHeight="1" x14ac:dyDescent="0.2">
      <c r="C119" s="3"/>
    </row>
    <row r="120" spans="3:3" ht="15" customHeight="1" x14ac:dyDescent="0.2">
      <c r="C120" s="3"/>
    </row>
    <row r="121" spans="3:3" ht="15" customHeight="1" x14ac:dyDescent="0.2">
      <c r="C121" s="3"/>
    </row>
    <row r="122" spans="3:3" ht="15" customHeight="1" x14ac:dyDescent="0.2">
      <c r="C122" s="3"/>
    </row>
    <row r="123" spans="3:3" ht="15" customHeight="1" x14ac:dyDescent="0.2">
      <c r="C123" s="3"/>
    </row>
    <row r="124" spans="3:3" ht="15" customHeight="1" x14ac:dyDescent="0.2">
      <c r="C124" s="3"/>
    </row>
    <row r="125" spans="3:3" ht="15" customHeight="1" x14ac:dyDescent="0.2">
      <c r="C125" s="3"/>
    </row>
    <row r="126" spans="3:3" ht="15" customHeight="1" x14ac:dyDescent="0.2">
      <c r="C126" s="3"/>
    </row>
    <row r="127" spans="3:3" ht="15" customHeight="1" x14ac:dyDescent="0.2">
      <c r="C127" s="3"/>
    </row>
    <row r="128" spans="3:3" ht="15" customHeight="1" x14ac:dyDescent="0.2">
      <c r="C128" s="3"/>
    </row>
    <row r="129" spans="3:3" ht="15" customHeight="1" x14ac:dyDescent="0.2">
      <c r="C129" s="3"/>
    </row>
    <row r="130" spans="3:3" ht="15" customHeight="1" x14ac:dyDescent="0.2">
      <c r="C130" s="3"/>
    </row>
    <row r="131" spans="3:3" ht="15" customHeight="1" x14ac:dyDescent="0.2">
      <c r="C131" s="3"/>
    </row>
    <row r="132" spans="3:3" ht="15" customHeight="1" x14ac:dyDescent="0.2">
      <c r="C132" s="3"/>
    </row>
    <row r="133" spans="3:3" ht="15" customHeight="1" x14ac:dyDescent="0.2">
      <c r="C133" s="3"/>
    </row>
    <row r="134" spans="3:3" ht="15" customHeight="1" x14ac:dyDescent="0.2">
      <c r="C134" s="3"/>
    </row>
    <row r="135" spans="3:3" ht="15" customHeight="1" x14ac:dyDescent="0.2">
      <c r="C135" s="3"/>
    </row>
    <row r="136" spans="3:3" ht="15" customHeight="1" x14ac:dyDescent="0.2">
      <c r="C136" s="3"/>
    </row>
    <row r="137" spans="3:3" ht="15" customHeight="1" x14ac:dyDescent="0.2">
      <c r="C137" s="3"/>
    </row>
    <row r="138" spans="3:3" ht="15" customHeight="1" x14ac:dyDescent="0.2">
      <c r="C138" s="3"/>
    </row>
    <row r="139" spans="3:3" ht="15" customHeight="1" x14ac:dyDescent="0.2">
      <c r="C139" s="3"/>
    </row>
    <row r="140" spans="3:3" ht="15" customHeight="1" x14ac:dyDescent="0.2">
      <c r="C140" s="3"/>
    </row>
    <row r="141" spans="3:3" ht="15" customHeight="1" x14ac:dyDescent="0.2">
      <c r="C141" s="3"/>
    </row>
    <row r="142" spans="3:3" ht="15" customHeight="1" x14ac:dyDescent="0.2">
      <c r="C142" s="3"/>
    </row>
    <row r="143" spans="3:3" ht="15" customHeight="1" x14ac:dyDescent="0.2">
      <c r="C143" s="3"/>
    </row>
    <row r="144" spans="3:3" ht="15" customHeight="1" x14ac:dyDescent="0.2">
      <c r="C144" s="3"/>
    </row>
    <row r="145" spans="3:3" ht="15" customHeight="1" x14ac:dyDescent="0.2">
      <c r="C145" s="3"/>
    </row>
    <row r="146" spans="3:3" ht="15" customHeight="1" x14ac:dyDescent="0.2">
      <c r="C146" s="3"/>
    </row>
    <row r="147" spans="3:3" ht="15" customHeight="1" x14ac:dyDescent="0.2">
      <c r="C147" s="3"/>
    </row>
  </sheetData>
  <mergeCells count="3">
    <mergeCell ref="B1:C1"/>
    <mergeCell ref="C5:D5"/>
    <mergeCell ref="B2:F2"/>
  </mergeCells>
  <phoneticPr fontId="0" type="noConversion"/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80" orientation="portrait" r:id="rId1"/>
  <headerFooter alignWithMargins="0">
    <oddHeader xml:space="preserve">&amp;R&amp;"-,Félkövér"&amp;11  16. melléklet a 13/2023. (V.26.) önkormányzati rendelethez </oddHeader>
    <oddFooter xml:space="preserve">&amp;C 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74"/>
  <sheetViews>
    <sheetView view="pageLayout" topLeftCell="G1" zoomScaleNormal="100" workbookViewId="0">
      <selection activeCell="T5" sqref="T5"/>
    </sheetView>
  </sheetViews>
  <sheetFormatPr defaultColWidth="10.6640625" defaultRowHeight="15" x14ac:dyDescent="0.2"/>
  <cols>
    <col min="1" max="1" width="18.6640625" style="8" customWidth="1"/>
    <col min="2" max="2" width="6" style="8" customWidth="1"/>
    <col min="3" max="3" width="94" style="8" customWidth="1"/>
    <col min="4" max="5" width="17.83203125" style="8" customWidth="1"/>
    <col min="6" max="6" width="21.1640625" style="8" customWidth="1"/>
    <col min="7" max="7" width="17.83203125" style="8" customWidth="1"/>
    <col min="8" max="16384" width="10.6640625" style="8"/>
  </cols>
  <sheetData>
    <row r="1" spans="1:7" s="192" customFormat="1" ht="22.5" customHeight="1" x14ac:dyDescent="0.25">
      <c r="B1" s="2096" t="s">
        <v>380</v>
      </c>
      <c r="C1" s="2096"/>
      <c r="D1" s="2096"/>
      <c r="E1" s="2096"/>
      <c r="F1" s="2096"/>
      <c r="G1" s="2096"/>
    </row>
    <row r="2" spans="1:7" s="192" customFormat="1" ht="15.75" thickBot="1" x14ac:dyDescent="0.3">
      <c r="C2" s="208"/>
      <c r="D2" s="209"/>
      <c r="F2" s="209"/>
      <c r="G2" s="209" t="s">
        <v>17</v>
      </c>
    </row>
    <row r="3" spans="1:7" s="192" customFormat="1" ht="22.5" customHeight="1" x14ac:dyDescent="0.3">
      <c r="B3" s="210"/>
      <c r="C3" s="211" t="s">
        <v>31</v>
      </c>
      <c r="D3" s="2099" t="s">
        <v>516</v>
      </c>
      <c r="E3" s="2099"/>
      <c r="F3" s="656" t="s">
        <v>340</v>
      </c>
      <c r="G3" s="715" t="s">
        <v>100</v>
      </c>
    </row>
    <row r="4" spans="1:7" s="192" customFormat="1" ht="22.5" customHeight="1" thickBot="1" x14ac:dyDescent="0.35">
      <c r="B4" s="212"/>
      <c r="C4" s="213"/>
      <c r="D4" s="362" t="s">
        <v>202</v>
      </c>
      <c r="E4" s="362" t="s">
        <v>98</v>
      </c>
      <c r="F4" s="461" t="s">
        <v>99</v>
      </c>
      <c r="G4" s="381" t="s">
        <v>101</v>
      </c>
    </row>
    <row r="5" spans="1:7" s="192" customFormat="1" ht="19.5" customHeight="1" x14ac:dyDescent="0.3">
      <c r="B5" s="1854" t="s">
        <v>279</v>
      </c>
      <c r="C5" s="1855"/>
      <c r="D5" s="275"/>
      <c r="E5" s="275"/>
      <c r="F5" s="277"/>
      <c r="G5" s="716"/>
    </row>
    <row r="6" spans="1:7" s="192" customFormat="1" ht="19.5" customHeight="1" x14ac:dyDescent="0.3">
      <c r="B6" s="1854"/>
      <c r="C6" s="1855"/>
      <c r="D6" s="275"/>
      <c r="E6" s="275"/>
      <c r="F6" s="277"/>
      <c r="G6" s="716"/>
    </row>
    <row r="7" spans="1:7" s="215" customFormat="1" ht="19.5" customHeight="1" x14ac:dyDescent="0.3">
      <c r="B7" s="1856"/>
      <c r="C7" s="1857" t="s">
        <v>116</v>
      </c>
      <c r="D7" s="753">
        <f>SUM(D6)</f>
        <v>0</v>
      </c>
      <c r="E7" s="753">
        <f t="shared" ref="E7:F7" si="0">SUM(E6)</f>
        <v>0</v>
      </c>
      <c r="F7" s="753">
        <f t="shared" si="0"/>
        <v>0</v>
      </c>
      <c r="G7" s="718"/>
    </row>
    <row r="8" spans="1:7" s="215" customFormat="1" ht="19.5" customHeight="1" x14ac:dyDescent="0.3">
      <c r="B8" s="1856"/>
      <c r="C8" s="1858"/>
      <c r="D8" s="754"/>
      <c r="E8" s="754"/>
      <c r="F8" s="737"/>
      <c r="G8" s="719"/>
    </row>
    <row r="9" spans="1:7" s="217" customFormat="1" ht="32.25" x14ac:dyDescent="0.3">
      <c r="B9" s="1859"/>
      <c r="C9" s="1860" t="s">
        <v>138</v>
      </c>
      <c r="D9" s="755">
        <f>SUM(D8)</f>
        <v>0</v>
      </c>
      <c r="E9" s="755">
        <f t="shared" ref="E9:F9" si="1">SUM(E8)</f>
        <v>0</v>
      </c>
      <c r="F9" s="738">
        <f t="shared" si="1"/>
        <v>0</v>
      </c>
      <c r="G9" s="720"/>
    </row>
    <row r="10" spans="1:7" s="218" customFormat="1" ht="21.75" customHeight="1" x14ac:dyDescent="0.3">
      <c r="A10" s="192"/>
      <c r="B10" s="1861"/>
      <c r="C10" s="1862"/>
      <c r="D10" s="759"/>
      <c r="E10" s="756"/>
      <c r="F10" s="739"/>
      <c r="G10" s="721"/>
    </row>
    <row r="11" spans="1:7" s="218" customFormat="1" ht="32.25" customHeight="1" x14ac:dyDescent="0.3">
      <c r="A11" s="192"/>
      <c r="B11" s="1861"/>
      <c r="C11" s="1862" t="s">
        <v>573</v>
      </c>
      <c r="D11" s="759"/>
      <c r="E11" s="756">
        <v>600000</v>
      </c>
      <c r="F11" s="740">
        <v>31129</v>
      </c>
      <c r="G11" s="717">
        <f t="shared" ref="G11:G21" si="2">+F11/E11*100</f>
        <v>5.1881666666666666</v>
      </c>
    </row>
    <row r="12" spans="1:7" s="192" customFormat="1" ht="19.5" customHeight="1" x14ac:dyDescent="0.3">
      <c r="B12" s="1863"/>
      <c r="C12" s="1864" t="s">
        <v>510</v>
      </c>
      <c r="D12" s="512"/>
      <c r="E12" s="512">
        <v>1931</v>
      </c>
      <c r="F12" s="741">
        <v>1931</v>
      </c>
      <c r="G12" s="722">
        <f t="shared" si="2"/>
        <v>100</v>
      </c>
    </row>
    <row r="13" spans="1:7" s="192" customFormat="1" ht="19.5" customHeight="1" x14ac:dyDescent="0.3">
      <c r="B13" s="1863"/>
      <c r="C13" s="1862" t="s">
        <v>273</v>
      </c>
      <c r="D13" s="512"/>
      <c r="E13" s="512">
        <v>36255</v>
      </c>
      <c r="F13" s="741">
        <v>34157</v>
      </c>
      <c r="G13" s="722">
        <f t="shared" si="2"/>
        <v>94.213211970762657</v>
      </c>
    </row>
    <row r="14" spans="1:7" s="192" customFormat="1" ht="19.5" customHeight="1" x14ac:dyDescent="0.3">
      <c r="B14" s="1863"/>
      <c r="C14" s="1864" t="s">
        <v>276</v>
      </c>
      <c r="D14" s="512"/>
      <c r="E14" s="512">
        <v>510889</v>
      </c>
      <c r="F14" s="742">
        <v>324643</v>
      </c>
      <c r="G14" s="722">
        <f t="shared" si="2"/>
        <v>63.544723022026304</v>
      </c>
    </row>
    <row r="15" spans="1:7" s="192" customFormat="1" ht="19.5" customHeight="1" x14ac:dyDescent="0.3">
      <c r="B15" s="1863"/>
      <c r="C15" s="1862" t="s">
        <v>275</v>
      </c>
      <c r="D15" s="512"/>
      <c r="E15" s="512">
        <v>8224</v>
      </c>
      <c r="F15" s="742">
        <v>8224</v>
      </c>
      <c r="G15" s="722">
        <f t="shared" si="2"/>
        <v>100</v>
      </c>
    </row>
    <row r="16" spans="1:7" s="192" customFormat="1" ht="34.5" customHeight="1" x14ac:dyDescent="0.3">
      <c r="B16" s="1863"/>
      <c r="C16" s="1862" t="s">
        <v>324</v>
      </c>
      <c r="D16" s="512"/>
      <c r="E16" s="512">
        <v>66854</v>
      </c>
      <c r="F16" s="741">
        <v>66853</v>
      </c>
      <c r="G16" s="723">
        <f t="shared" si="2"/>
        <v>99.998504203189043</v>
      </c>
    </row>
    <row r="17" spans="2:8" s="192" customFormat="1" ht="33.75" customHeight="1" x14ac:dyDescent="0.3">
      <c r="B17" s="1863"/>
      <c r="C17" s="1862" t="s">
        <v>325</v>
      </c>
      <c r="D17" s="512"/>
      <c r="E17" s="512">
        <v>21800</v>
      </c>
      <c r="F17" s="734">
        <v>21799</v>
      </c>
      <c r="G17" s="724">
        <f t="shared" si="2"/>
        <v>99.995412844036707</v>
      </c>
    </row>
    <row r="18" spans="2:8" s="192" customFormat="1" ht="19.5" customHeight="1" x14ac:dyDescent="0.3">
      <c r="B18" s="1863"/>
      <c r="C18" s="1862" t="s">
        <v>413</v>
      </c>
      <c r="D18" s="512"/>
      <c r="E18" s="512">
        <v>202138</v>
      </c>
      <c r="F18" s="734">
        <v>91994</v>
      </c>
      <c r="G18" s="724">
        <f t="shared" si="2"/>
        <v>45.510492831629875</v>
      </c>
    </row>
    <row r="19" spans="2:8" s="192" customFormat="1" ht="19.5" customHeight="1" x14ac:dyDescent="0.3">
      <c r="B19" s="1863"/>
      <c r="C19" s="1862" t="s">
        <v>444</v>
      </c>
      <c r="D19" s="512"/>
      <c r="E19" s="512">
        <v>1000</v>
      </c>
      <c r="F19" s="736"/>
      <c r="G19" s="724">
        <f t="shared" si="2"/>
        <v>0</v>
      </c>
    </row>
    <row r="20" spans="2:8" s="192" customFormat="1" ht="19.5" customHeight="1" x14ac:dyDescent="0.3">
      <c r="B20" s="1863"/>
      <c r="C20" s="1865" t="s">
        <v>601</v>
      </c>
      <c r="D20" s="512"/>
      <c r="E20" s="512">
        <v>49770</v>
      </c>
      <c r="F20" s="741">
        <v>49770</v>
      </c>
      <c r="G20" s="724">
        <f t="shared" si="2"/>
        <v>100</v>
      </c>
    </row>
    <row r="21" spans="2:8" s="192" customFormat="1" ht="19.5" customHeight="1" x14ac:dyDescent="0.3">
      <c r="B21" s="1863"/>
      <c r="C21" s="1866" t="s">
        <v>117</v>
      </c>
      <c r="D21" s="757">
        <f>SUM(D10:D19)</f>
        <v>0</v>
      </c>
      <c r="E21" s="757">
        <f>SUM(E10:E20)</f>
        <v>1498861</v>
      </c>
      <c r="F21" s="743">
        <f>SUM(F10:F20)</f>
        <v>630500</v>
      </c>
      <c r="G21" s="760">
        <f t="shared" si="2"/>
        <v>42.065274898739773</v>
      </c>
      <c r="H21" s="217"/>
    </row>
    <row r="22" spans="2:8" s="192" customFormat="1" ht="19.5" customHeight="1" x14ac:dyDescent="0.3">
      <c r="B22" s="1867" t="s">
        <v>269</v>
      </c>
      <c r="C22" s="1868"/>
      <c r="D22" s="516">
        <f>+D21+D9+D7</f>
        <v>0</v>
      </c>
      <c r="E22" s="516">
        <f>+E21+E9+E7</f>
        <v>1498861</v>
      </c>
      <c r="F22" s="744">
        <f>+F21+F9+F7</f>
        <v>630500</v>
      </c>
      <c r="G22" s="725">
        <f>+F22/E22*100</f>
        <v>42.065274898739773</v>
      </c>
    </row>
    <row r="23" spans="2:8" s="192" customFormat="1" ht="19.5" customHeight="1" x14ac:dyDescent="0.3">
      <c r="B23" s="1854" t="s">
        <v>266</v>
      </c>
      <c r="C23" s="1869"/>
      <c r="D23" s="275"/>
      <c r="E23" s="275"/>
      <c r="F23" s="277"/>
      <c r="G23" s="716"/>
    </row>
    <row r="24" spans="2:8" s="192" customFormat="1" ht="19.5" customHeight="1" x14ac:dyDescent="0.3">
      <c r="B24" s="1863"/>
      <c r="C24" s="1862" t="s">
        <v>239</v>
      </c>
      <c r="D24" s="512">
        <v>477290</v>
      </c>
      <c r="E24" s="512">
        <v>1087166</v>
      </c>
      <c r="F24" s="736">
        <v>1087166</v>
      </c>
      <c r="G24" s="724">
        <f t="shared" ref="G24:G26" si="3">+F24/E24*100</f>
        <v>100</v>
      </c>
    </row>
    <row r="25" spans="2:8" s="192" customFormat="1" ht="19.5" customHeight="1" thickBot="1" x14ac:dyDescent="0.35">
      <c r="B25" s="1863"/>
      <c r="C25" s="1864" t="s">
        <v>39</v>
      </c>
      <c r="D25" s="517"/>
      <c r="E25" s="517">
        <v>31800</v>
      </c>
      <c r="F25" s="745">
        <v>31800</v>
      </c>
      <c r="G25" s="726">
        <f t="shared" si="3"/>
        <v>100</v>
      </c>
    </row>
    <row r="26" spans="2:8" s="192" customFormat="1" ht="19.5" customHeight="1" thickBot="1" x14ac:dyDescent="0.35">
      <c r="B26" s="1870" t="s">
        <v>267</v>
      </c>
      <c r="C26" s="1871"/>
      <c r="D26" s="288">
        <f>SUM(D24:D25)</f>
        <v>477290</v>
      </c>
      <c r="E26" s="288">
        <f>SUM(E24:E25)</f>
        <v>1118966</v>
      </c>
      <c r="F26" s="747">
        <f>SUM(F24:F25)</f>
        <v>1118966</v>
      </c>
      <c r="G26" s="727">
        <f t="shared" si="3"/>
        <v>100</v>
      </c>
    </row>
    <row r="27" spans="2:8" s="192" customFormat="1" ht="19.5" customHeight="1" x14ac:dyDescent="0.3">
      <c r="B27" s="1872" t="s">
        <v>270</v>
      </c>
      <c r="C27" s="1873"/>
      <c r="D27" s="533"/>
      <c r="E27" s="533"/>
      <c r="F27" s="748"/>
      <c r="G27" s="728"/>
    </row>
    <row r="28" spans="2:8" s="192" customFormat="1" ht="33.75" customHeight="1" x14ac:dyDescent="0.3">
      <c r="B28" s="1872"/>
      <c r="C28" s="1874" t="s">
        <v>85</v>
      </c>
      <c r="D28" s="758"/>
      <c r="E28" s="758"/>
      <c r="F28" s="749"/>
      <c r="G28" s="729"/>
    </row>
    <row r="29" spans="2:8" s="192" customFormat="1" ht="19.5" customHeight="1" x14ac:dyDescent="0.3">
      <c r="B29" s="1863"/>
      <c r="C29" s="1875" t="s">
        <v>232</v>
      </c>
      <c r="D29" s="517">
        <v>10000</v>
      </c>
      <c r="E29" s="517">
        <v>12037</v>
      </c>
      <c r="F29" s="745">
        <v>13729</v>
      </c>
      <c r="G29" s="726">
        <f>+F29/E29*100</f>
        <v>114.05665863587274</v>
      </c>
    </row>
    <row r="30" spans="2:8" s="192" customFormat="1" ht="19.5" customHeight="1" x14ac:dyDescent="0.3">
      <c r="B30" s="1863"/>
      <c r="C30" s="1875" t="s">
        <v>38</v>
      </c>
      <c r="D30" s="517">
        <v>3000</v>
      </c>
      <c r="E30" s="517">
        <v>2005</v>
      </c>
      <c r="F30" s="745">
        <v>2005</v>
      </c>
      <c r="G30" s="726">
        <f>+F30/E30*100</f>
        <v>100</v>
      </c>
    </row>
    <row r="31" spans="2:8" s="192" customFormat="1" ht="19.5" customHeight="1" x14ac:dyDescent="0.3">
      <c r="B31" s="1863"/>
      <c r="C31" s="1876" t="s">
        <v>118</v>
      </c>
      <c r="D31" s="517"/>
      <c r="E31" s="517"/>
      <c r="F31" s="745"/>
      <c r="G31" s="726"/>
    </row>
    <row r="32" spans="2:8" s="192" customFormat="1" ht="19.5" customHeight="1" x14ac:dyDescent="0.3">
      <c r="B32" s="1863"/>
      <c r="C32" s="1877" t="s">
        <v>488</v>
      </c>
      <c r="D32" s="511"/>
      <c r="E32" s="511">
        <v>118126</v>
      </c>
      <c r="F32" s="746">
        <v>5750</v>
      </c>
      <c r="G32" s="730">
        <f t="shared" ref="G32" si="4">+F32/E32*100</f>
        <v>4.8676836598208695</v>
      </c>
    </row>
    <row r="33" spans="2:7" s="192" customFormat="1" ht="21.95" customHeight="1" x14ac:dyDescent="0.3">
      <c r="B33" s="2097" t="s">
        <v>0</v>
      </c>
      <c r="C33" s="2098"/>
      <c r="D33" s="516">
        <f>SUM(D27:D32)</f>
        <v>13000</v>
      </c>
      <c r="E33" s="516">
        <f>SUM(E27:E32)</f>
        <v>132168</v>
      </c>
      <c r="F33" s="744">
        <f>SUM(F29:F32)</f>
        <v>21484</v>
      </c>
      <c r="G33" s="731">
        <f>+F33/E33*100</f>
        <v>16.255069305732096</v>
      </c>
    </row>
    <row r="34" spans="2:7" s="192" customFormat="1" ht="21.95" customHeight="1" x14ac:dyDescent="0.3">
      <c r="B34" s="1524" t="s">
        <v>260</v>
      </c>
      <c r="C34" s="1878"/>
      <c r="D34" s="533"/>
      <c r="E34" s="533"/>
      <c r="F34" s="748"/>
      <c r="G34" s="728"/>
    </row>
    <row r="35" spans="2:7" s="192" customFormat="1" ht="19.5" customHeight="1" x14ac:dyDescent="0.3">
      <c r="B35" s="1872"/>
      <c r="C35" s="1879" t="s">
        <v>82</v>
      </c>
      <c r="D35" s="519"/>
      <c r="E35" s="519"/>
      <c r="F35" s="750"/>
      <c r="G35" s="732"/>
    </row>
    <row r="36" spans="2:7" s="192" customFormat="1" ht="19.5" customHeight="1" x14ac:dyDescent="0.3">
      <c r="B36" s="1872"/>
      <c r="C36" s="1880" t="s">
        <v>281</v>
      </c>
      <c r="D36" s="517"/>
      <c r="E36" s="517">
        <v>85</v>
      </c>
      <c r="F36" s="745">
        <v>85</v>
      </c>
      <c r="G36" s="726">
        <f t="shared" ref="G36:G39" si="5">+F36/E36*100</f>
        <v>100</v>
      </c>
    </row>
    <row r="37" spans="2:7" s="192" customFormat="1" ht="19.5" customHeight="1" x14ac:dyDescent="0.3">
      <c r="B37" s="1872"/>
      <c r="C37" s="1881" t="s">
        <v>233</v>
      </c>
      <c r="D37" s="512"/>
      <c r="E37" s="512">
        <v>11844</v>
      </c>
      <c r="F37" s="734">
        <v>11844</v>
      </c>
      <c r="G37" s="726">
        <f t="shared" si="5"/>
        <v>100</v>
      </c>
    </row>
    <row r="38" spans="2:7" s="192" customFormat="1" ht="19.5" customHeight="1" x14ac:dyDescent="0.3">
      <c r="B38" s="1872"/>
      <c r="C38" s="1881" t="s">
        <v>234</v>
      </c>
      <c r="D38" s="533"/>
      <c r="E38" s="511">
        <v>13793</v>
      </c>
      <c r="F38" s="746">
        <v>13793</v>
      </c>
      <c r="G38" s="726">
        <f t="shared" si="5"/>
        <v>100</v>
      </c>
    </row>
    <row r="39" spans="2:7" s="192" customFormat="1" ht="19.5" customHeight="1" x14ac:dyDescent="0.3">
      <c r="B39" s="1872"/>
      <c r="C39" s="1881" t="s">
        <v>261</v>
      </c>
      <c r="D39" s="517"/>
      <c r="E39" s="517">
        <v>16245</v>
      </c>
      <c r="F39" s="745">
        <v>16245</v>
      </c>
      <c r="G39" s="726">
        <f t="shared" si="5"/>
        <v>100</v>
      </c>
    </row>
    <row r="40" spans="2:7" s="192" customFormat="1" ht="19.5" customHeight="1" x14ac:dyDescent="0.3">
      <c r="B40" s="1872"/>
      <c r="C40" s="1881" t="s">
        <v>262</v>
      </c>
      <c r="D40" s="533"/>
      <c r="E40" s="511"/>
      <c r="F40" s="746"/>
      <c r="G40" s="726"/>
    </row>
    <row r="41" spans="2:7" s="192" customFormat="1" ht="19.5" customHeight="1" x14ac:dyDescent="0.3">
      <c r="B41" s="1872"/>
      <c r="C41" s="1880" t="s">
        <v>47</v>
      </c>
      <c r="D41" s="517"/>
      <c r="E41" s="517"/>
      <c r="F41" s="745"/>
      <c r="G41" s="726"/>
    </row>
    <row r="42" spans="2:7" s="192" customFormat="1" ht="19.5" customHeight="1" x14ac:dyDescent="0.3">
      <c r="B42" s="1872"/>
      <c r="C42" s="1880" t="s">
        <v>228</v>
      </c>
      <c r="D42" s="517">
        <v>2655</v>
      </c>
      <c r="E42" s="517">
        <v>3836</v>
      </c>
      <c r="F42" s="745">
        <v>3836</v>
      </c>
      <c r="G42" s="726">
        <f>+F42/E42*100</f>
        <v>100</v>
      </c>
    </row>
    <row r="43" spans="2:7" s="192" customFormat="1" ht="19.5" customHeight="1" x14ac:dyDescent="0.3">
      <c r="B43" s="1872"/>
      <c r="C43" s="1881" t="s">
        <v>67</v>
      </c>
      <c r="D43" s="533"/>
      <c r="E43" s="511">
        <v>2</v>
      </c>
      <c r="F43" s="746">
        <v>2</v>
      </c>
      <c r="G43" s="726">
        <f t="shared" ref="G43:G46" si="6">+F43/E43*100</f>
        <v>100</v>
      </c>
    </row>
    <row r="44" spans="2:7" s="192" customFormat="1" ht="19.5" customHeight="1" x14ac:dyDescent="0.3">
      <c r="B44" s="1872"/>
      <c r="C44" s="1880" t="s">
        <v>68</v>
      </c>
      <c r="D44" s="517"/>
      <c r="E44" s="517">
        <v>62</v>
      </c>
      <c r="F44" s="745">
        <v>62</v>
      </c>
      <c r="G44" s="726">
        <f t="shared" si="6"/>
        <v>100</v>
      </c>
    </row>
    <row r="45" spans="2:7" s="192" customFormat="1" ht="19.5" customHeight="1" x14ac:dyDescent="0.3">
      <c r="B45" s="1872"/>
      <c r="C45" s="1882" t="s">
        <v>60</v>
      </c>
      <c r="D45" s="524"/>
      <c r="E45" s="524"/>
      <c r="F45" s="751"/>
      <c r="G45" s="726"/>
    </row>
    <row r="46" spans="2:7" s="192" customFormat="1" ht="19.5" customHeight="1" x14ac:dyDescent="0.3">
      <c r="B46" s="1872"/>
      <c r="C46" s="1879" t="s">
        <v>46</v>
      </c>
      <c r="D46" s="514"/>
      <c r="E46" s="514">
        <v>789</v>
      </c>
      <c r="F46" s="735">
        <v>789</v>
      </c>
      <c r="G46" s="726">
        <f t="shared" si="6"/>
        <v>100</v>
      </c>
    </row>
    <row r="47" spans="2:7" s="192" customFormat="1" ht="21.95" customHeight="1" x14ac:dyDescent="0.3">
      <c r="B47" s="2097" t="s">
        <v>102</v>
      </c>
      <c r="C47" s="2098"/>
      <c r="D47" s="516">
        <f>SUM(D35:D46)</f>
        <v>2655</v>
      </c>
      <c r="E47" s="516">
        <f>SUM(E35:E46)</f>
        <v>46656</v>
      </c>
      <c r="F47" s="744">
        <f>SUM(F35:F46)</f>
        <v>46656</v>
      </c>
      <c r="G47" s="731">
        <f>+F47/E47*100</f>
        <v>100</v>
      </c>
    </row>
    <row r="48" spans="2:7" s="192" customFormat="1" ht="21.95" customHeight="1" thickBot="1" x14ac:dyDescent="0.35">
      <c r="B48" s="2102" t="s">
        <v>334</v>
      </c>
      <c r="C48" s="2103"/>
      <c r="D48" s="535">
        <f>+D22+D26+D33+D47</f>
        <v>492945</v>
      </c>
      <c r="E48" s="535">
        <f>+E22+E26+E33+E47</f>
        <v>2796651</v>
      </c>
      <c r="F48" s="752">
        <f>+F22+F26+F33+F47</f>
        <v>1817606</v>
      </c>
      <c r="G48" s="733">
        <f>+F48/E48*100</f>
        <v>64.992235355788054</v>
      </c>
    </row>
    <row r="51" spans="6:6" x14ac:dyDescent="0.2">
      <c r="F51" s="9"/>
    </row>
    <row r="52" spans="6:6" x14ac:dyDescent="0.2">
      <c r="F52" s="9"/>
    </row>
    <row r="54" spans="6:6" x14ac:dyDescent="0.2">
      <c r="F54" s="9"/>
    </row>
    <row r="55" spans="6:6" x14ac:dyDescent="0.2">
      <c r="F55" s="9"/>
    </row>
    <row r="56" spans="6:6" x14ac:dyDescent="0.2">
      <c r="F56" s="9"/>
    </row>
    <row r="57" spans="6:6" x14ac:dyDescent="0.2">
      <c r="F57" s="9"/>
    </row>
    <row r="58" spans="6:6" x14ac:dyDescent="0.2">
      <c r="F58" s="9"/>
    </row>
    <row r="59" spans="6:6" x14ac:dyDescent="0.2">
      <c r="F59" s="9"/>
    </row>
    <row r="60" spans="6:6" x14ac:dyDescent="0.2">
      <c r="F60" s="9"/>
    </row>
    <row r="66" spans="3:7" ht="15.75" x14ac:dyDescent="0.25">
      <c r="C66" s="2100"/>
      <c r="D66" s="2100"/>
      <c r="E66" s="2100"/>
    </row>
    <row r="67" spans="3:7" ht="15.75" x14ac:dyDescent="0.25">
      <c r="D67" s="15"/>
      <c r="E67" s="16"/>
    </row>
    <row r="68" spans="3:7" ht="15.75" x14ac:dyDescent="0.25">
      <c r="D68" s="18"/>
      <c r="E68" s="2101"/>
      <c r="F68" s="2101"/>
      <c r="G68" s="13"/>
    </row>
    <row r="69" spans="3:7" ht="15.75" x14ac:dyDescent="0.25">
      <c r="D69" s="17"/>
      <c r="E69" s="6"/>
      <c r="F69" s="6"/>
      <c r="G69" s="13"/>
    </row>
    <row r="70" spans="3:7" ht="15.75" x14ac:dyDescent="0.25">
      <c r="C70" s="29"/>
      <c r="D70" s="17"/>
      <c r="E70" s="22"/>
      <c r="F70" s="22"/>
      <c r="G70" s="22"/>
    </row>
    <row r="71" spans="3:7" x14ac:dyDescent="0.2">
      <c r="C71" s="30"/>
      <c r="D71" s="27"/>
      <c r="E71" s="31"/>
      <c r="F71" s="31"/>
      <c r="G71" s="31"/>
    </row>
    <row r="72" spans="3:7" x14ac:dyDescent="0.2">
      <c r="C72" s="9"/>
      <c r="D72" s="26"/>
      <c r="E72" s="32"/>
      <c r="F72" s="32"/>
      <c r="G72" s="32"/>
    </row>
    <row r="73" spans="3:7" x14ac:dyDescent="0.2">
      <c r="C73" s="9"/>
      <c r="D73" s="26"/>
      <c r="E73" s="32"/>
      <c r="F73" s="32"/>
      <c r="G73" s="32"/>
    </row>
    <row r="74" spans="3:7" x14ac:dyDescent="0.2">
      <c r="C74" s="9"/>
      <c r="D74" s="26"/>
      <c r="E74" s="32"/>
      <c r="F74" s="32"/>
      <c r="G74" s="32"/>
    </row>
  </sheetData>
  <mergeCells count="7">
    <mergeCell ref="B1:G1"/>
    <mergeCell ref="B33:C33"/>
    <mergeCell ref="D3:E3"/>
    <mergeCell ref="C66:E66"/>
    <mergeCell ref="E68:F68"/>
    <mergeCell ref="B47:C47"/>
    <mergeCell ref="B48:C48"/>
  </mergeCells>
  <phoneticPr fontId="0" type="noConversion"/>
  <printOptions horizontalCentered="1" verticalCentered="1"/>
  <pageMargins left="0.39370078740157483" right="0" top="0.78740157480314965" bottom="0" header="0.51181102362204722" footer="0"/>
  <pageSetup paperSize="9" scale="70" orientation="portrait" r:id="rId1"/>
  <headerFooter alignWithMargins="0">
    <oddHeader xml:space="preserve">&amp;R&amp;"Calibri,Félkövér"&amp;11 17. melléklet a 13/2023. (V.26.) önkormányzati rendelethez 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073"/>
  <sheetViews>
    <sheetView topLeftCell="A47" zoomScaleNormal="100" workbookViewId="0">
      <selection activeCell="A65" sqref="A65"/>
    </sheetView>
  </sheetViews>
  <sheetFormatPr defaultColWidth="10.6640625" defaultRowHeight="15" customHeight="1" x14ac:dyDescent="0.25"/>
  <cols>
    <col min="1" max="1" width="17.5" style="47" customWidth="1"/>
    <col min="2" max="2" width="5.6640625" style="8" customWidth="1"/>
    <col min="3" max="3" width="102.6640625" style="8" customWidth="1"/>
    <col min="4" max="4" width="18.83203125" style="8" customWidth="1"/>
    <col min="5" max="6" width="18.83203125" style="9" customWidth="1"/>
    <col min="7" max="7" width="18.83203125" style="8" customWidth="1"/>
    <col min="8" max="8" width="10.6640625" style="8"/>
    <col min="9" max="9" width="15.6640625" style="8" bestFit="1" customWidth="1"/>
    <col min="10" max="10" width="24.33203125" style="8" customWidth="1"/>
    <col min="11" max="11" width="15.6640625" style="8" bestFit="1" customWidth="1"/>
    <col min="12" max="16384" width="10.6640625" style="8"/>
  </cols>
  <sheetData>
    <row r="1" spans="1:7" s="192" customFormat="1" ht="24" customHeight="1" x14ac:dyDescent="0.25">
      <c r="A1" s="220"/>
      <c r="B1" s="2104"/>
      <c r="C1" s="2104"/>
      <c r="D1" s="2104"/>
      <c r="E1" s="2104"/>
      <c r="F1" s="2104"/>
      <c r="G1" s="2104"/>
    </row>
    <row r="2" spans="1:7" s="192" customFormat="1" ht="24" customHeight="1" x14ac:dyDescent="0.3">
      <c r="A2" s="220"/>
      <c r="B2" s="2107" t="s">
        <v>247</v>
      </c>
      <c r="C2" s="2107"/>
      <c r="D2" s="2107"/>
      <c r="E2" s="2107"/>
      <c r="F2" s="2107"/>
      <c r="G2" s="2107"/>
    </row>
    <row r="3" spans="1:7" s="192" customFormat="1" ht="24.75" customHeight="1" thickBot="1" x14ac:dyDescent="0.3">
      <c r="A3" s="220"/>
      <c r="B3" s="192" t="s">
        <v>57</v>
      </c>
      <c r="C3" s="222"/>
      <c r="E3" s="217"/>
      <c r="F3" s="217"/>
      <c r="G3" s="223" t="s">
        <v>17</v>
      </c>
    </row>
    <row r="4" spans="1:7" s="192" customFormat="1" ht="26.1" customHeight="1" x14ac:dyDescent="0.3">
      <c r="A4" s="220"/>
      <c r="B4" s="2105" t="s">
        <v>31</v>
      </c>
      <c r="C4" s="2106"/>
      <c r="D4" s="2076" t="s">
        <v>516</v>
      </c>
      <c r="E4" s="2077"/>
      <c r="F4" s="271" t="s">
        <v>340</v>
      </c>
      <c r="G4" s="443" t="s">
        <v>100</v>
      </c>
    </row>
    <row r="5" spans="1:7" s="192" customFormat="1" ht="22.5" customHeight="1" thickBot="1" x14ac:dyDescent="0.35">
      <c r="A5" s="220"/>
      <c r="B5" s="224"/>
      <c r="C5" s="221"/>
      <c r="D5" s="362" t="s">
        <v>202</v>
      </c>
      <c r="E5" s="460" t="s">
        <v>98</v>
      </c>
      <c r="F5" s="363" t="s">
        <v>99</v>
      </c>
      <c r="G5" s="364" t="s">
        <v>101</v>
      </c>
    </row>
    <row r="6" spans="1:7" s="192" customFormat="1" ht="26.1" customHeight="1" x14ac:dyDescent="0.3">
      <c r="A6" s="220"/>
      <c r="B6" s="225" t="s">
        <v>182</v>
      </c>
      <c r="C6" s="797" t="s">
        <v>88</v>
      </c>
      <c r="D6" s="798"/>
      <c r="E6" s="799"/>
      <c r="F6" s="799"/>
      <c r="G6" s="800"/>
    </row>
    <row r="7" spans="1:7" s="192" customFormat="1" ht="33.75" customHeight="1" x14ac:dyDescent="0.3">
      <c r="A7" s="220"/>
      <c r="B7" s="226"/>
      <c r="C7" s="194" t="s">
        <v>485</v>
      </c>
      <c r="D7" s="801"/>
      <c r="E7" s="519">
        <v>82500</v>
      </c>
      <c r="F7" s="802">
        <v>82500</v>
      </c>
      <c r="G7" s="761">
        <f t="shared" ref="G7:G14" si="0">+F7/E7*100</f>
        <v>100</v>
      </c>
    </row>
    <row r="8" spans="1:7" s="192" customFormat="1" ht="19.5" customHeight="1" x14ac:dyDescent="0.3">
      <c r="A8" s="220"/>
      <c r="B8" s="216"/>
      <c r="C8" s="127" t="s">
        <v>608</v>
      </c>
      <c r="D8" s="512"/>
      <c r="E8" s="512">
        <v>38739</v>
      </c>
      <c r="F8" s="556">
        <v>38739</v>
      </c>
      <c r="G8" s="762">
        <f t="shared" si="0"/>
        <v>100</v>
      </c>
    </row>
    <row r="9" spans="1:7" s="192" customFormat="1" ht="34.5" customHeight="1" x14ac:dyDescent="0.3">
      <c r="A9" s="220"/>
      <c r="B9" s="216"/>
      <c r="C9" s="127" t="s">
        <v>548</v>
      </c>
      <c r="D9" s="512">
        <v>23500</v>
      </c>
      <c r="E9" s="512">
        <v>23500</v>
      </c>
      <c r="F9" s="513">
        <v>23500</v>
      </c>
      <c r="G9" s="726">
        <f t="shared" si="0"/>
        <v>100</v>
      </c>
    </row>
    <row r="10" spans="1:7" s="192" customFormat="1" ht="34.5" customHeight="1" x14ac:dyDescent="0.3">
      <c r="A10" s="220"/>
      <c r="B10" s="216"/>
      <c r="C10" s="127" t="s">
        <v>607</v>
      </c>
      <c r="D10" s="512">
        <v>39000</v>
      </c>
      <c r="E10" s="512">
        <v>73000</v>
      </c>
      <c r="F10" s="513">
        <v>63164</v>
      </c>
      <c r="G10" s="726">
        <f t="shared" si="0"/>
        <v>86.526027397260279</v>
      </c>
    </row>
    <row r="11" spans="1:7" s="192" customFormat="1" ht="34.5" customHeight="1" x14ac:dyDescent="0.3">
      <c r="A11" s="220"/>
      <c r="B11" s="216"/>
      <c r="C11" s="127" t="s">
        <v>625</v>
      </c>
      <c r="D11" s="512"/>
      <c r="E11" s="512">
        <v>35000</v>
      </c>
      <c r="F11" s="513">
        <v>35000</v>
      </c>
      <c r="G11" s="726">
        <f t="shared" si="0"/>
        <v>100</v>
      </c>
    </row>
    <row r="12" spans="1:7" s="192" customFormat="1" ht="19.5" customHeight="1" x14ac:dyDescent="0.3">
      <c r="A12" s="220"/>
      <c r="B12" s="216"/>
      <c r="C12" s="219" t="s">
        <v>579</v>
      </c>
      <c r="D12" s="514"/>
      <c r="E12" s="514">
        <v>35000</v>
      </c>
      <c r="F12" s="515"/>
      <c r="G12" s="730"/>
    </row>
    <row r="13" spans="1:7" s="192" customFormat="1" ht="19.5" customHeight="1" x14ac:dyDescent="0.3">
      <c r="A13" s="220"/>
      <c r="B13" s="216"/>
      <c r="C13" s="550" t="s">
        <v>626</v>
      </c>
      <c r="D13" s="551"/>
      <c r="E13" s="551">
        <v>50000</v>
      </c>
      <c r="F13" s="552">
        <v>25620</v>
      </c>
      <c r="G13" s="726">
        <f t="shared" si="0"/>
        <v>51.239999999999995</v>
      </c>
    </row>
    <row r="14" spans="1:7" s="192" customFormat="1" ht="19.5" customHeight="1" x14ac:dyDescent="0.3">
      <c r="A14" s="220"/>
      <c r="B14" s="227"/>
      <c r="C14" s="228" t="s">
        <v>187</v>
      </c>
      <c r="D14" s="516">
        <f>SUM(D7:D11)</f>
        <v>62500</v>
      </c>
      <c r="E14" s="516">
        <f>SUM(E7:E13)</f>
        <v>337739</v>
      </c>
      <c r="F14" s="516">
        <f>SUM(F7:F13)</f>
        <v>268523</v>
      </c>
      <c r="G14" s="763">
        <f t="shared" si="0"/>
        <v>79.506068295340484</v>
      </c>
    </row>
    <row r="15" spans="1:7" s="192" customFormat="1" ht="19.5" customHeight="1" x14ac:dyDescent="0.3">
      <c r="A15" s="220"/>
      <c r="B15" s="563" t="s">
        <v>35</v>
      </c>
      <c r="C15" s="564" t="s">
        <v>34</v>
      </c>
      <c r="D15" s="570"/>
      <c r="E15" s="570"/>
      <c r="F15" s="570"/>
      <c r="G15" s="792"/>
    </row>
    <row r="16" spans="1:7" s="192" customFormat="1" ht="19.5" customHeight="1" x14ac:dyDescent="0.3">
      <c r="A16" s="220"/>
      <c r="B16" s="565"/>
      <c r="C16" s="566" t="s">
        <v>549</v>
      </c>
      <c r="D16" s="567">
        <v>60000</v>
      </c>
      <c r="E16" s="567">
        <v>0</v>
      </c>
      <c r="F16" s="568"/>
      <c r="G16" s="766"/>
    </row>
    <row r="17" spans="1:7" s="192" customFormat="1" ht="19.5" customHeight="1" x14ac:dyDescent="0.3">
      <c r="A17" s="220"/>
      <c r="B17" s="227"/>
      <c r="C17" s="228" t="s">
        <v>143</v>
      </c>
      <c r="D17" s="516">
        <f>SUM(D16:D16)</f>
        <v>60000</v>
      </c>
      <c r="E17" s="516">
        <f>SUM(E16:E16)</f>
        <v>0</v>
      </c>
      <c r="F17" s="516">
        <f>SUM(F16:F16)</f>
        <v>0</v>
      </c>
      <c r="G17" s="554"/>
    </row>
    <row r="18" spans="1:7" s="192" customFormat="1" ht="19.5" customHeight="1" x14ac:dyDescent="0.3">
      <c r="A18" s="220"/>
      <c r="B18" s="563" t="s">
        <v>183</v>
      </c>
      <c r="C18" s="564" t="s">
        <v>181</v>
      </c>
      <c r="D18" s="510"/>
      <c r="E18" s="511"/>
      <c r="F18" s="511"/>
      <c r="G18" s="765"/>
    </row>
    <row r="19" spans="1:7" s="192" customFormat="1" ht="19.5" customHeight="1" x14ac:dyDescent="0.3">
      <c r="A19" s="220"/>
      <c r="B19" s="565"/>
      <c r="C19" s="566" t="s">
        <v>144</v>
      </c>
      <c r="D19" s="567"/>
      <c r="E19" s="567">
        <v>33472</v>
      </c>
      <c r="F19" s="568"/>
      <c r="G19" s="766">
        <f>+F19/E19*100</f>
        <v>0</v>
      </c>
    </row>
    <row r="20" spans="1:7" s="192" customFormat="1" ht="19.5" customHeight="1" x14ac:dyDescent="0.3">
      <c r="A20" s="220"/>
      <c r="B20" s="227"/>
      <c r="C20" s="228" t="s">
        <v>188</v>
      </c>
      <c r="D20" s="516">
        <f>SUM(D19:D19)</f>
        <v>0</v>
      </c>
      <c r="E20" s="516">
        <f>SUM(E19:E19)</f>
        <v>33472</v>
      </c>
      <c r="F20" s="516">
        <f>SUM(F19:F19)</f>
        <v>0</v>
      </c>
      <c r="G20" s="763">
        <f>+F20/E20*100</f>
        <v>0</v>
      </c>
    </row>
    <row r="21" spans="1:7" s="192" customFormat="1" ht="19.5" customHeight="1" x14ac:dyDescent="0.3">
      <c r="A21" s="220"/>
      <c r="B21" s="226" t="s">
        <v>184</v>
      </c>
      <c r="C21" s="231" t="s">
        <v>185</v>
      </c>
      <c r="D21" s="510"/>
      <c r="E21" s="511"/>
      <c r="F21" s="511"/>
      <c r="G21" s="730"/>
    </row>
    <row r="22" spans="1:7" s="192" customFormat="1" ht="19.5" customHeight="1" x14ac:dyDescent="0.3">
      <c r="A22" s="220"/>
      <c r="B22" s="216"/>
      <c r="C22" s="238" t="s">
        <v>135</v>
      </c>
      <c r="D22" s="524">
        <v>10000</v>
      </c>
      <c r="E22" s="524">
        <v>9447</v>
      </c>
      <c r="F22" s="519">
        <v>8689</v>
      </c>
      <c r="G22" s="732">
        <f>+F22/E22*100</f>
        <v>91.97628876892135</v>
      </c>
    </row>
    <row r="23" spans="1:7" s="192" customFormat="1" ht="19.5" customHeight="1" x14ac:dyDescent="0.3">
      <c r="A23" s="220"/>
      <c r="B23" s="216"/>
      <c r="C23" s="232" t="s">
        <v>511</v>
      </c>
      <c r="D23" s="518"/>
      <c r="E23" s="518">
        <v>1037</v>
      </c>
      <c r="F23" s="517"/>
      <c r="G23" s="726">
        <f>+F23/E23*100</f>
        <v>0</v>
      </c>
    </row>
    <row r="24" spans="1:7" s="192" customFormat="1" ht="19.5" customHeight="1" x14ac:dyDescent="0.3">
      <c r="A24" s="220"/>
      <c r="B24" s="216"/>
      <c r="C24" s="232" t="s">
        <v>407</v>
      </c>
      <c r="D24" s="518"/>
      <c r="E24" s="518">
        <v>7000</v>
      </c>
      <c r="F24" s="557"/>
      <c r="G24" s="762">
        <f t="shared" ref="G24:G25" si="1">+F24/E24*100</f>
        <v>0</v>
      </c>
    </row>
    <row r="25" spans="1:7" s="192" customFormat="1" ht="19.5" customHeight="1" x14ac:dyDescent="0.3">
      <c r="A25" s="220"/>
      <c r="B25" s="216"/>
      <c r="C25" s="232" t="s">
        <v>495</v>
      </c>
      <c r="D25" s="518"/>
      <c r="E25" s="518">
        <v>3734</v>
      </c>
      <c r="F25" s="557">
        <v>3734</v>
      </c>
      <c r="G25" s="762">
        <f t="shared" si="1"/>
        <v>100</v>
      </c>
    </row>
    <row r="26" spans="1:7" s="192" customFormat="1" ht="19.5" customHeight="1" x14ac:dyDescent="0.3">
      <c r="A26" s="220"/>
      <c r="B26" s="216"/>
      <c r="C26" s="232" t="s">
        <v>498</v>
      </c>
      <c r="D26" s="512"/>
      <c r="E26" s="512">
        <v>12306</v>
      </c>
      <c r="F26" s="517">
        <v>12306</v>
      </c>
      <c r="G26" s="726">
        <f t="shared" ref="G26:G27" si="2">+F26/E26*100</f>
        <v>100</v>
      </c>
    </row>
    <row r="27" spans="1:7" s="192" customFormat="1" ht="19.5" customHeight="1" x14ac:dyDescent="0.3">
      <c r="A27" s="220"/>
      <c r="B27" s="227"/>
      <c r="C27" s="233" t="s">
        <v>189</v>
      </c>
      <c r="D27" s="516">
        <f>SUM(D22:D26)</f>
        <v>10000</v>
      </c>
      <c r="E27" s="516">
        <f>SUM(E22:E26)</f>
        <v>33524</v>
      </c>
      <c r="F27" s="516">
        <f>SUM(F22:F26)</f>
        <v>24729</v>
      </c>
      <c r="G27" s="763">
        <f t="shared" si="2"/>
        <v>73.765063834864577</v>
      </c>
    </row>
    <row r="28" spans="1:7" s="192" customFormat="1" ht="19.5" customHeight="1" x14ac:dyDescent="0.3">
      <c r="A28" s="220"/>
      <c r="B28" s="226" t="s">
        <v>186</v>
      </c>
      <c r="C28" s="231" t="s">
        <v>190</v>
      </c>
      <c r="D28" s="510"/>
      <c r="E28" s="511"/>
      <c r="F28" s="511"/>
      <c r="G28" s="730"/>
    </row>
    <row r="29" spans="1:7" s="192" customFormat="1" ht="19.5" customHeight="1" x14ac:dyDescent="0.3">
      <c r="A29" s="220"/>
      <c r="B29" s="234" t="s">
        <v>179</v>
      </c>
      <c r="C29" s="235"/>
      <c r="D29" s="510"/>
      <c r="E29" s="511"/>
      <c r="F29" s="511"/>
      <c r="G29" s="730"/>
    </row>
    <row r="30" spans="1:7" s="237" customFormat="1" ht="19.5" customHeight="1" x14ac:dyDescent="0.3">
      <c r="A30" s="236"/>
      <c r="B30" s="216"/>
      <c r="C30" s="230" t="s">
        <v>601</v>
      </c>
      <c r="D30" s="512"/>
      <c r="E30" s="512">
        <v>63208</v>
      </c>
      <c r="F30" s="517">
        <v>63208</v>
      </c>
      <c r="G30" s="726">
        <f t="shared" ref="G30:G102" si="3">+F30/E30*100</f>
        <v>100</v>
      </c>
    </row>
    <row r="31" spans="1:7" s="237" customFormat="1" ht="19.5" customHeight="1" x14ac:dyDescent="0.3">
      <c r="A31" s="236"/>
      <c r="B31" s="216"/>
      <c r="C31" s="230" t="s">
        <v>381</v>
      </c>
      <c r="D31" s="512"/>
      <c r="E31" s="512">
        <v>16311</v>
      </c>
      <c r="F31" s="517"/>
      <c r="G31" s="726">
        <f t="shared" si="3"/>
        <v>0</v>
      </c>
    </row>
    <row r="32" spans="1:7" s="192" customFormat="1" ht="19.5" customHeight="1" x14ac:dyDescent="0.3">
      <c r="A32" s="236"/>
      <c r="B32" s="216"/>
      <c r="C32" s="230" t="s">
        <v>278</v>
      </c>
      <c r="D32" s="512"/>
      <c r="E32" s="512">
        <v>602108</v>
      </c>
      <c r="F32" s="517">
        <v>314665</v>
      </c>
      <c r="G32" s="726">
        <f t="shared" si="3"/>
        <v>52.260557906554972</v>
      </c>
    </row>
    <row r="33" spans="1:7" s="192" customFormat="1" ht="19.5" customHeight="1" x14ac:dyDescent="0.3">
      <c r="A33" s="220"/>
      <c r="B33" s="234" t="s">
        <v>178</v>
      </c>
      <c r="C33" s="793"/>
      <c r="D33" s="518"/>
      <c r="E33" s="518"/>
      <c r="F33" s="525"/>
      <c r="G33" s="767"/>
    </row>
    <row r="34" spans="1:7" s="192" customFormat="1" ht="33" customHeight="1" x14ac:dyDescent="0.3">
      <c r="A34" s="236"/>
      <c r="B34" s="216"/>
      <c r="C34" s="238" t="s">
        <v>408</v>
      </c>
      <c r="D34" s="282"/>
      <c r="E34" s="282">
        <v>1076</v>
      </c>
      <c r="F34" s="519"/>
      <c r="G34" s="732">
        <f t="shared" si="3"/>
        <v>0</v>
      </c>
    </row>
    <row r="35" spans="1:7" s="192" customFormat="1" ht="19.5" customHeight="1" x14ac:dyDescent="0.3">
      <c r="A35" s="220"/>
      <c r="B35" s="216"/>
      <c r="C35" s="238" t="s">
        <v>550</v>
      </c>
      <c r="D35" s="282">
        <v>100000</v>
      </c>
      <c r="E35" s="282">
        <v>180000</v>
      </c>
      <c r="F35" s="519">
        <v>5211</v>
      </c>
      <c r="G35" s="726">
        <f t="shared" si="3"/>
        <v>2.895</v>
      </c>
    </row>
    <row r="36" spans="1:7" s="192" customFormat="1" ht="19.5" customHeight="1" x14ac:dyDescent="0.3">
      <c r="A36" s="220"/>
      <c r="B36" s="216"/>
      <c r="C36" s="238" t="s">
        <v>560</v>
      </c>
      <c r="D36" s="267"/>
      <c r="E36" s="267">
        <v>11704</v>
      </c>
      <c r="F36" s="517">
        <v>11704</v>
      </c>
      <c r="G36" s="726">
        <f t="shared" si="3"/>
        <v>100</v>
      </c>
    </row>
    <row r="37" spans="1:7" s="192" customFormat="1" ht="19.5" customHeight="1" x14ac:dyDescent="0.3">
      <c r="A37" s="220"/>
      <c r="B37" s="216"/>
      <c r="C37" s="238" t="s">
        <v>577</v>
      </c>
      <c r="D37" s="267"/>
      <c r="E37" s="267">
        <v>908</v>
      </c>
      <c r="F37" s="520">
        <v>891</v>
      </c>
      <c r="G37" s="726">
        <f t="shared" si="3"/>
        <v>98.127753303964766</v>
      </c>
    </row>
    <row r="38" spans="1:7" s="192" customFormat="1" ht="19.5" customHeight="1" x14ac:dyDescent="0.3">
      <c r="A38" s="220"/>
      <c r="B38" s="216"/>
      <c r="C38" s="238" t="s">
        <v>578</v>
      </c>
      <c r="D38" s="267"/>
      <c r="E38" s="267">
        <v>22300</v>
      </c>
      <c r="F38" s="520"/>
      <c r="G38" s="726">
        <f t="shared" si="3"/>
        <v>0</v>
      </c>
    </row>
    <row r="39" spans="1:7" s="241" customFormat="1" ht="53.25" customHeight="1" x14ac:dyDescent="0.3">
      <c r="A39" s="236"/>
      <c r="B39" s="239"/>
      <c r="C39" s="240" t="s">
        <v>580</v>
      </c>
      <c r="D39" s="513"/>
      <c r="E39" s="513">
        <v>817594</v>
      </c>
      <c r="F39" s="521">
        <v>557121</v>
      </c>
      <c r="G39" s="726">
        <f t="shared" ref="G39:G42" si="4">+F39/E39*100</f>
        <v>68.141522564989458</v>
      </c>
    </row>
    <row r="40" spans="1:7" s="241" customFormat="1" ht="50.1" customHeight="1" x14ac:dyDescent="0.3">
      <c r="A40" s="236"/>
      <c r="B40" s="239"/>
      <c r="C40" s="240" t="s">
        <v>581</v>
      </c>
      <c r="D40" s="513"/>
      <c r="E40" s="513">
        <v>77704</v>
      </c>
      <c r="F40" s="521"/>
      <c r="G40" s="726">
        <f t="shared" si="4"/>
        <v>0</v>
      </c>
    </row>
    <row r="41" spans="1:7" s="241" customFormat="1" ht="50.1" customHeight="1" x14ac:dyDescent="0.3">
      <c r="A41" s="236"/>
      <c r="B41" s="239"/>
      <c r="C41" s="240" t="s">
        <v>582</v>
      </c>
      <c r="D41" s="513"/>
      <c r="E41" s="513">
        <v>204507</v>
      </c>
      <c r="F41" s="521">
        <v>8793</v>
      </c>
      <c r="G41" s="726">
        <f t="shared" si="4"/>
        <v>4.2996083263653571</v>
      </c>
    </row>
    <row r="42" spans="1:7" s="241" customFormat="1" ht="50.1" customHeight="1" x14ac:dyDescent="0.3">
      <c r="A42" s="236"/>
      <c r="B42" s="239"/>
      <c r="C42" s="240" t="s">
        <v>621</v>
      </c>
      <c r="D42" s="513"/>
      <c r="E42" s="513">
        <v>62977</v>
      </c>
      <c r="F42" s="521"/>
      <c r="G42" s="726">
        <f t="shared" si="4"/>
        <v>0</v>
      </c>
    </row>
    <row r="43" spans="1:7" s="241" customFormat="1" ht="19.5" customHeight="1" x14ac:dyDescent="0.3">
      <c r="A43" s="220"/>
      <c r="B43" s="239"/>
      <c r="C43" s="240" t="s">
        <v>484</v>
      </c>
      <c r="D43" s="513"/>
      <c r="E43" s="513">
        <v>239551</v>
      </c>
      <c r="F43" s="521">
        <v>5552</v>
      </c>
      <c r="G43" s="726">
        <f>+F43/E43*100</f>
        <v>2.3176693063272538</v>
      </c>
    </row>
    <row r="44" spans="1:7" s="241" customFormat="1" ht="19.5" customHeight="1" x14ac:dyDescent="0.3">
      <c r="A44" s="220"/>
      <c r="B44" s="239"/>
      <c r="C44" s="240" t="s">
        <v>594</v>
      </c>
      <c r="D44" s="522"/>
      <c r="E44" s="522">
        <v>75621</v>
      </c>
      <c r="F44" s="523"/>
      <c r="G44" s="726">
        <f t="shared" ref="G44:G52" si="5">+F44/E44*100</f>
        <v>0</v>
      </c>
    </row>
    <row r="45" spans="1:7" s="241" customFormat="1" ht="19.5" customHeight="1" x14ac:dyDescent="0.3">
      <c r="A45" s="220"/>
      <c r="B45" s="239"/>
      <c r="C45" s="240" t="s">
        <v>583</v>
      </c>
      <c r="D45" s="522"/>
      <c r="E45" s="522">
        <v>60299</v>
      </c>
      <c r="F45" s="523"/>
      <c r="G45" s="726">
        <f t="shared" si="5"/>
        <v>0</v>
      </c>
    </row>
    <row r="46" spans="1:7" s="241" customFormat="1" ht="19.5" customHeight="1" x14ac:dyDescent="0.3">
      <c r="A46" s="220"/>
      <c r="B46" s="239"/>
      <c r="C46" s="240" t="s">
        <v>622</v>
      </c>
      <c r="D46" s="522"/>
      <c r="E46" s="522">
        <v>20417</v>
      </c>
      <c r="F46" s="523"/>
      <c r="G46" s="726">
        <f t="shared" si="5"/>
        <v>0</v>
      </c>
    </row>
    <row r="47" spans="1:7" s="241" customFormat="1" ht="19.5" customHeight="1" x14ac:dyDescent="0.3">
      <c r="A47" s="220"/>
      <c r="B47" s="239"/>
      <c r="C47" s="238" t="s">
        <v>645</v>
      </c>
      <c r="D47" s="522"/>
      <c r="E47" s="522">
        <v>25000</v>
      </c>
      <c r="F47" s="523"/>
      <c r="G47" s="726">
        <f t="shared" si="5"/>
        <v>0</v>
      </c>
    </row>
    <row r="48" spans="1:7" s="241" customFormat="1" ht="19.5" customHeight="1" x14ac:dyDescent="0.3">
      <c r="A48" s="220"/>
      <c r="B48" s="239"/>
      <c r="C48" s="238" t="s">
        <v>651</v>
      </c>
      <c r="D48" s="522"/>
      <c r="E48" s="522">
        <v>21000</v>
      </c>
      <c r="F48" s="523"/>
      <c r="G48" s="726">
        <f t="shared" si="5"/>
        <v>0</v>
      </c>
    </row>
    <row r="49" spans="1:7" s="241" customFormat="1" ht="19.5" customHeight="1" x14ac:dyDescent="0.3">
      <c r="A49" s="220"/>
      <c r="B49" s="239"/>
      <c r="C49" s="238" t="s">
        <v>652</v>
      </c>
      <c r="D49" s="522"/>
      <c r="E49" s="522">
        <v>150000</v>
      </c>
      <c r="F49" s="523"/>
      <c r="G49" s="726">
        <f t="shared" si="5"/>
        <v>0</v>
      </c>
    </row>
    <row r="50" spans="1:7" s="241" customFormat="1" ht="19.5" customHeight="1" x14ac:dyDescent="0.3">
      <c r="A50" s="220"/>
      <c r="B50" s="239"/>
      <c r="C50" s="240" t="s">
        <v>653</v>
      </c>
      <c r="D50" s="522"/>
      <c r="E50" s="522">
        <v>80000</v>
      </c>
      <c r="F50" s="523"/>
      <c r="G50" s="726">
        <f t="shared" si="5"/>
        <v>0</v>
      </c>
    </row>
    <row r="51" spans="1:7" s="192" customFormat="1" ht="19.5" customHeight="1" x14ac:dyDescent="0.3">
      <c r="A51" s="220"/>
      <c r="B51" s="234" t="s">
        <v>180</v>
      </c>
      <c r="C51" s="90"/>
      <c r="D51" s="524"/>
      <c r="E51" s="524"/>
      <c r="F51" s="519"/>
      <c r="G51" s="726"/>
    </row>
    <row r="52" spans="1:7" s="192" customFormat="1" ht="19.5" customHeight="1" x14ac:dyDescent="0.3">
      <c r="A52" s="220"/>
      <c r="B52" s="216"/>
      <c r="C52" s="230" t="s">
        <v>109</v>
      </c>
      <c r="D52" s="512"/>
      <c r="E52" s="512">
        <v>6099</v>
      </c>
      <c r="F52" s="517">
        <v>2674</v>
      </c>
      <c r="G52" s="726">
        <f t="shared" si="5"/>
        <v>43.84325299229382</v>
      </c>
    </row>
    <row r="53" spans="1:7" s="192" customFormat="1" ht="19.5" customHeight="1" x14ac:dyDescent="0.3">
      <c r="A53" s="220"/>
      <c r="B53" s="216"/>
      <c r="C53" s="126" t="s">
        <v>369</v>
      </c>
      <c r="D53" s="518"/>
      <c r="E53" s="518">
        <v>45</v>
      </c>
      <c r="F53" s="525"/>
      <c r="G53" s="726">
        <f t="shared" si="3"/>
        <v>0</v>
      </c>
    </row>
    <row r="54" spans="1:7" s="192" customFormat="1" ht="33" customHeight="1" x14ac:dyDescent="0.3">
      <c r="A54" s="220"/>
      <c r="B54" s="216"/>
      <c r="C54" s="242" t="s">
        <v>382</v>
      </c>
      <c r="D54" s="512"/>
      <c r="E54" s="512">
        <v>2352</v>
      </c>
      <c r="F54" s="520">
        <v>831</v>
      </c>
      <c r="G54" s="726">
        <f t="shared" si="3"/>
        <v>35.33163265306122</v>
      </c>
    </row>
    <row r="55" spans="1:7" s="192" customFormat="1" ht="19.5" customHeight="1" x14ac:dyDescent="0.3">
      <c r="A55" s="220"/>
      <c r="B55" s="216"/>
      <c r="C55" s="135" t="s">
        <v>429</v>
      </c>
      <c r="D55" s="512"/>
      <c r="E55" s="512">
        <v>385</v>
      </c>
      <c r="F55" s="520"/>
      <c r="G55" s="726">
        <f t="shared" si="3"/>
        <v>0</v>
      </c>
    </row>
    <row r="56" spans="1:7" s="192" customFormat="1" ht="19.5" customHeight="1" x14ac:dyDescent="0.3">
      <c r="A56" s="220"/>
      <c r="B56" s="216"/>
      <c r="C56" s="135" t="s">
        <v>318</v>
      </c>
      <c r="D56" s="512"/>
      <c r="E56" s="512">
        <v>89</v>
      </c>
      <c r="F56" s="520"/>
      <c r="G56" s="726">
        <f t="shared" si="3"/>
        <v>0</v>
      </c>
    </row>
    <row r="57" spans="1:7" s="192" customFormat="1" ht="19.5" customHeight="1" x14ac:dyDescent="0.3">
      <c r="A57" s="220"/>
      <c r="B57" s="216"/>
      <c r="C57" s="135" t="s">
        <v>345</v>
      </c>
      <c r="D57" s="512"/>
      <c r="E57" s="512">
        <v>0</v>
      </c>
      <c r="F57" s="520"/>
      <c r="G57" s="726"/>
    </row>
    <row r="58" spans="1:7" s="192" customFormat="1" ht="19.5" customHeight="1" x14ac:dyDescent="0.3">
      <c r="A58" s="220"/>
      <c r="B58" s="216"/>
      <c r="C58" s="135" t="s">
        <v>371</v>
      </c>
      <c r="D58" s="512"/>
      <c r="E58" s="512">
        <v>3998</v>
      </c>
      <c r="F58" s="520"/>
      <c r="G58" s="726">
        <f t="shared" si="3"/>
        <v>0</v>
      </c>
    </row>
    <row r="59" spans="1:7" s="192" customFormat="1" ht="19.5" customHeight="1" x14ac:dyDescent="0.3">
      <c r="A59" s="220"/>
      <c r="B59" s="216"/>
      <c r="C59" s="135" t="s">
        <v>471</v>
      </c>
      <c r="D59" s="512"/>
      <c r="E59" s="512">
        <v>28000</v>
      </c>
      <c r="F59" s="520"/>
      <c r="G59" s="726">
        <f t="shared" si="3"/>
        <v>0</v>
      </c>
    </row>
    <row r="60" spans="1:7" s="192" customFormat="1" ht="19.5" customHeight="1" x14ac:dyDescent="0.3">
      <c r="A60" s="220"/>
      <c r="B60" s="216"/>
      <c r="C60" s="135" t="s">
        <v>472</v>
      </c>
      <c r="D60" s="512"/>
      <c r="E60" s="512">
        <v>7560</v>
      </c>
      <c r="F60" s="520"/>
      <c r="G60" s="726">
        <f t="shared" si="3"/>
        <v>0</v>
      </c>
    </row>
    <row r="61" spans="1:7" s="192" customFormat="1" ht="19.5" customHeight="1" x14ac:dyDescent="0.3">
      <c r="A61" s="220"/>
      <c r="B61" s="216"/>
      <c r="C61" s="135" t="s">
        <v>486</v>
      </c>
      <c r="D61" s="518"/>
      <c r="E61" s="512">
        <v>18606</v>
      </c>
      <c r="F61" s="520"/>
      <c r="G61" s="726">
        <f t="shared" si="3"/>
        <v>0</v>
      </c>
    </row>
    <row r="62" spans="1:7" s="192" customFormat="1" ht="34.5" customHeight="1" x14ac:dyDescent="0.3">
      <c r="A62" s="220"/>
      <c r="B62" s="216"/>
      <c r="C62" s="135" t="s">
        <v>623</v>
      </c>
      <c r="D62" s="512"/>
      <c r="E62" s="512">
        <v>520281</v>
      </c>
      <c r="F62" s="520">
        <v>25892</v>
      </c>
      <c r="G62" s="726">
        <f t="shared" si="3"/>
        <v>4.9765415227540499</v>
      </c>
    </row>
    <row r="63" spans="1:7" s="192" customFormat="1" ht="19.5" customHeight="1" x14ac:dyDescent="0.3">
      <c r="A63" s="220"/>
      <c r="B63" s="214" t="s">
        <v>216</v>
      </c>
      <c r="C63" s="244"/>
      <c r="D63" s="1694"/>
      <c r="E63" s="794"/>
      <c r="F63" s="525"/>
      <c r="G63" s="767"/>
    </row>
    <row r="64" spans="1:7" s="192" customFormat="1" ht="19.5" customHeight="1" x14ac:dyDescent="0.3">
      <c r="A64" s="220"/>
      <c r="B64" s="216"/>
      <c r="C64" s="229" t="s">
        <v>264</v>
      </c>
      <c r="D64" s="524">
        <v>34000</v>
      </c>
      <c r="E64" s="524">
        <v>101921</v>
      </c>
      <c r="F64" s="519">
        <v>51239</v>
      </c>
      <c r="G64" s="732">
        <f t="shared" si="3"/>
        <v>50.27325085114942</v>
      </c>
    </row>
    <row r="65" spans="1:7" s="192" customFormat="1" ht="33" customHeight="1" x14ac:dyDescent="0.3">
      <c r="A65" s="220"/>
      <c r="B65" s="216"/>
      <c r="C65" s="242" t="s">
        <v>551</v>
      </c>
      <c r="D65" s="518">
        <v>5000</v>
      </c>
      <c r="E65" s="518">
        <v>5000</v>
      </c>
      <c r="F65" s="517">
        <v>3556</v>
      </c>
      <c r="G65" s="726">
        <f t="shared" si="3"/>
        <v>71.12</v>
      </c>
    </row>
    <row r="66" spans="1:7" s="192" customFormat="1" ht="19.5" customHeight="1" x14ac:dyDescent="0.3">
      <c r="A66" s="220"/>
      <c r="B66" s="216"/>
      <c r="C66" s="230" t="s">
        <v>415</v>
      </c>
      <c r="D66" s="518"/>
      <c r="E66" s="518"/>
      <c r="F66" s="517"/>
      <c r="G66" s="726"/>
    </row>
    <row r="67" spans="1:7" s="192" customFormat="1" ht="19.5" customHeight="1" x14ac:dyDescent="0.3">
      <c r="A67" s="220"/>
      <c r="B67" s="214" t="s">
        <v>20</v>
      </c>
      <c r="D67" s="525"/>
      <c r="E67" s="525"/>
      <c r="F67" s="525"/>
      <c r="G67" s="767"/>
    </row>
    <row r="68" spans="1:7" s="192" customFormat="1" ht="19.5" customHeight="1" x14ac:dyDescent="0.3">
      <c r="A68" s="220"/>
      <c r="B68" s="216"/>
      <c r="C68" s="795" t="s">
        <v>639</v>
      </c>
      <c r="D68" s="524">
        <v>2000</v>
      </c>
      <c r="E68" s="524">
        <v>2000</v>
      </c>
      <c r="F68" s="796">
        <v>992</v>
      </c>
      <c r="G68" s="732">
        <f t="shared" si="3"/>
        <v>49.6</v>
      </c>
    </row>
    <row r="69" spans="1:7" s="192" customFormat="1" ht="19.5" customHeight="1" x14ac:dyDescent="0.3">
      <c r="A69" s="220"/>
      <c r="B69" s="216"/>
      <c r="C69" s="135" t="s">
        <v>552</v>
      </c>
      <c r="D69" s="512">
        <v>36000</v>
      </c>
      <c r="E69" s="512">
        <v>36000</v>
      </c>
      <c r="F69" s="520">
        <v>18595</v>
      </c>
      <c r="G69" s="726">
        <f t="shared" si="3"/>
        <v>51.652777777777779</v>
      </c>
    </row>
    <row r="70" spans="1:7" s="192" customFormat="1" ht="19.5" customHeight="1" x14ac:dyDescent="0.3">
      <c r="A70" s="220"/>
      <c r="B70" s="216"/>
      <c r="C70" s="135" t="s">
        <v>553</v>
      </c>
      <c r="D70" s="512">
        <v>13000</v>
      </c>
      <c r="E70" s="512">
        <v>13000</v>
      </c>
      <c r="F70" s="520">
        <v>12994</v>
      </c>
      <c r="G70" s="726">
        <f t="shared" si="3"/>
        <v>99.953846153846143</v>
      </c>
    </row>
    <row r="71" spans="1:7" s="192" customFormat="1" ht="19.5" customHeight="1" x14ac:dyDescent="0.3">
      <c r="A71" s="220"/>
      <c r="B71" s="216"/>
      <c r="C71" s="135" t="s">
        <v>554</v>
      </c>
      <c r="D71" s="512">
        <v>5000</v>
      </c>
      <c r="E71" s="512">
        <v>5000</v>
      </c>
      <c r="F71" s="520">
        <v>4835</v>
      </c>
      <c r="G71" s="726">
        <f t="shared" si="3"/>
        <v>96.7</v>
      </c>
    </row>
    <row r="72" spans="1:7" s="192" customFormat="1" ht="19.5" customHeight="1" x14ac:dyDescent="0.3">
      <c r="A72" s="220"/>
      <c r="B72" s="216"/>
      <c r="C72" s="243" t="s">
        <v>584</v>
      </c>
      <c r="D72" s="518"/>
      <c r="E72" s="518">
        <v>10000</v>
      </c>
      <c r="F72" s="526">
        <v>1252</v>
      </c>
      <c r="G72" s="726">
        <f t="shared" si="3"/>
        <v>12.520000000000001</v>
      </c>
    </row>
    <row r="73" spans="1:7" s="192" customFormat="1" ht="19.5" customHeight="1" x14ac:dyDescent="0.3">
      <c r="A73" s="220"/>
      <c r="B73" s="214" t="s">
        <v>36</v>
      </c>
      <c r="C73" s="244"/>
      <c r="D73" s="518"/>
      <c r="E73" s="518"/>
      <c r="F73" s="525"/>
      <c r="G73" s="767"/>
    </row>
    <row r="74" spans="1:7" s="192" customFormat="1" ht="19.5" customHeight="1" x14ac:dyDescent="0.3">
      <c r="A74" s="220"/>
      <c r="B74" s="214"/>
      <c r="C74" s="229" t="s">
        <v>428</v>
      </c>
      <c r="D74" s="524">
        <v>5085260</v>
      </c>
      <c r="E74" s="524">
        <v>0</v>
      </c>
      <c r="F74" s="519"/>
      <c r="G74" s="732"/>
    </row>
    <row r="75" spans="1:7" s="241" customFormat="1" ht="19.5" customHeight="1" x14ac:dyDescent="0.3">
      <c r="A75" s="220"/>
      <c r="B75" s="239"/>
      <c r="C75" s="245" t="s">
        <v>300</v>
      </c>
      <c r="D75" s="527"/>
      <c r="E75" s="527">
        <v>73533</v>
      </c>
      <c r="F75" s="527">
        <v>13335</v>
      </c>
      <c r="G75" s="726">
        <f t="shared" si="3"/>
        <v>18.134715025906736</v>
      </c>
    </row>
    <row r="76" spans="1:7" s="192" customFormat="1" ht="19.5" customHeight="1" x14ac:dyDescent="0.3">
      <c r="A76" s="220"/>
      <c r="B76" s="216"/>
      <c r="C76" s="246" t="s">
        <v>299</v>
      </c>
      <c r="D76" s="525"/>
      <c r="E76" s="525">
        <v>201735</v>
      </c>
      <c r="F76" s="558">
        <v>201735</v>
      </c>
      <c r="G76" s="762">
        <f t="shared" si="3"/>
        <v>100</v>
      </c>
    </row>
    <row r="77" spans="1:7" s="192" customFormat="1" ht="33.75" customHeight="1" x14ac:dyDescent="0.3">
      <c r="A77" s="220"/>
      <c r="B77" s="216"/>
      <c r="C77" s="141" t="s">
        <v>573</v>
      </c>
      <c r="D77" s="525"/>
      <c r="E77" s="525">
        <v>600000</v>
      </c>
      <c r="F77" s="526">
        <v>9144</v>
      </c>
      <c r="G77" s="726">
        <f t="shared" si="3"/>
        <v>1.524</v>
      </c>
    </row>
    <row r="78" spans="1:7" s="192" customFormat="1" ht="33" customHeight="1" x14ac:dyDescent="0.3">
      <c r="A78" s="220"/>
      <c r="B78" s="216"/>
      <c r="C78" s="141" t="s">
        <v>441</v>
      </c>
      <c r="D78" s="512"/>
      <c r="E78" s="512">
        <v>14937</v>
      </c>
      <c r="F78" s="520">
        <v>14937</v>
      </c>
      <c r="G78" s="726">
        <f t="shared" si="3"/>
        <v>100</v>
      </c>
    </row>
    <row r="79" spans="1:7" s="192" customFormat="1" ht="33" customHeight="1" x14ac:dyDescent="0.3">
      <c r="A79" s="220"/>
      <c r="B79" s="216"/>
      <c r="C79" s="188" t="s">
        <v>447</v>
      </c>
      <c r="D79" s="514"/>
      <c r="E79" s="514">
        <v>6806</v>
      </c>
      <c r="F79" s="528">
        <v>6626</v>
      </c>
      <c r="G79" s="732">
        <f t="shared" si="3"/>
        <v>97.35527475756686</v>
      </c>
    </row>
    <row r="80" spans="1:7" s="241" customFormat="1" ht="19.5" customHeight="1" x14ac:dyDescent="0.3">
      <c r="A80" s="220"/>
      <c r="B80" s="239"/>
      <c r="C80" s="247" t="s">
        <v>442</v>
      </c>
      <c r="D80" s="527"/>
      <c r="E80" s="527">
        <v>9893</v>
      </c>
      <c r="F80" s="529">
        <v>9893</v>
      </c>
      <c r="G80" s="767">
        <f t="shared" si="3"/>
        <v>100</v>
      </c>
    </row>
    <row r="81" spans="1:7" s="192" customFormat="1" ht="33" customHeight="1" x14ac:dyDescent="0.3">
      <c r="A81" s="220"/>
      <c r="B81" s="216"/>
      <c r="C81" s="141" t="s">
        <v>448</v>
      </c>
      <c r="D81" s="512"/>
      <c r="E81" s="512">
        <v>21028</v>
      </c>
      <c r="F81" s="520">
        <v>20768</v>
      </c>
      <c r="G81" s="726">
        <f t="shared" si="3"/>
        <v>98.763553357428194</v>
      </c>
    </row>
    <row r="82" spans="1:7" s="192" customFormat="1" ht="33.75" customHeight="1" x14ac:dyDescent="0.3">
      <c r="A82" s="220"/>
      <c r="B82" s="216"/>
      <c r="C82" s="141" t="s">
        <v>443</v>
      </c>
      <c r="D82" s="512"/>
      <c r="E82" s="512">
        <v>7801</v>
      </c>
      <c r="F82" s="520"/>
      <c r="G82" s="726">
        <f t="shared" si="3"/>
        <v>0</v>
      </c>
    </row>
    <row r="83" spans="1:7" s="192" customFormat="1" ht="33.75" customHeight="1" x14ac:dyDescent="0.3">
      <c r="A83" s="220"/>
      <c r="B83" s="216"/>
      <c r="C83" s="188" t="s">
        <v>449</v>
      </c>
      <c r="D83" s="514"/>
      <c r="E83" s="514">
        <v>9866</v>
      </c>
      <c r="F83" s="528">
        <v>602</v>
      </c>
      <c r="G83" s="732">
        <f t="shared" si="3"/>
        <v>6.1017636326778835</v>
      </c>
    </row>
    <row r="84" spans="1:7" s="192" customFormat="1" ht="19.5" customHeight="1" x14ac:dyDescent="0.3">
      <c r="A84" s="220"/>
      <c r="B84" s="216"/>
      <c r="C84" s="141" t="s">
        <v>444</v>
      </c>
      <c r="D84" s="512"/>
      <c r="E84" s="512">
        <v>15748</v>
      </c>
      <c r="F84" s="520"/>
      <c r="G84" s="726">
        <f t="shared" si="3"/>
        <v>0</v>
      </c>
    </row>
    <row r="85" spans="1:7" s="192" customFormat="1" ht="19.5" customHeight="1" x14ac:dyDescent="0.3">
      <c r="A85" s="220"/>
      <c r="B85" s="216"/>
      <c r="C85" s="141" t="s">
        <v>647</v>
      </c>
      <c r="D85" s="512"/>
      <c r="E85" s="512">
        <v>4252</v>
      </c>
      <c r="F85" s="520"/>
      <c r="G85" s="726">
        <f t="shared" si="3"/>
        <v>0</v>
      </c>
    </row>
    <row r="86" spans="1:7" s="192" customFormat="1" ht="19.5" customHeight="1" x14ac:dyDescent="0.3">
      <c r="A86" s="220"/>
      <c r="B86" s="216"/>
      <c r="C86" s="141" t="s">
        <v>450</v>
      </c>
      <c r="D86" s="512"/>
      <c r="E86" s="512">
        <v>10029</v>
      </c>
      <c r="F86" s="520">
        <v>992</v>
      </c>
      <c r="G86" s="726">
        <f t="shared" si="3"/>
        <v>9.891315185960714</v>
      </c>
    </row>
    <row r="87" spans="1:7" s="192" customFormat="1" ht="35.25" customHeight="1" x14ac:dyDescent="0.3">
      <c r="A87" s="220"/>
      <c r="B87" s="216"/>
      <c r="C87" s="141" t="s">
        <v>648</v>
      </c>
      <c r="D87" s="512"/>
      <c r="E87" s="512">
        <v>2342</v>
      </c>
      <c r="F87" s="520"/>
      <c r="G87" s="726">
        <f t="shared" si="3"/>
        <v>0</v>
      </c>
    </row>
    <row r="88" spans="1:7" s="192" customFormat="1" ht="19.5" customHeight="1" x14ac:dyDescent="0.3">
      <c r="A88" s="220"/>
      <c r="B88" s="216"/>
      <c r="C88" s="141" t="s">
        <v>473</v>
      </c>
      <c r="D88" s="512"/>
      <c r="E88" s="512">
        <v>101848</v>
      </c>
      <c r="F88" s="520">
        <v>6016</v>
      </c>
      <c r="G88" s="726">
        <f t="shared" si="3"/>
        <v>5.9068415678265653</v>
      </c>
    </row>
    <row r="89" spans="1:7" s="192" customFormat="1" ht="19.5" customHeight="1" x14ac:dyDescent="0.3">
      <c r="A89" s="220"/>
      <c r="B89" s="216"/>
      <c r="C89" s="141" t="s">
        <v>649</v>
      </c>
      <c r="D89" s="518"/>
      <c r="E89" s="518">
        <v>25269</v>
      </c>
      <c r="F89" s="526"/>
      <c r="G89" s="726">
        <f t="shared" si="3"/>
        <v>0</v>
      </c>
    </row>
    <row r="90" spans="1:7" s="241" customFormat="1" ht="19.5" customHeight="1" x14ac:dyDescent="0.3">
      <c r="A90" s="220"/>
      <c r="B90" s="239"/>
      <c r="C90" s="247" t="s">
        <v>474</v>
      </c>
      <c r="D90" s="527"/>
      <c r="E90" s="527">
        <v>27758</v>
      </c>
      <c r="F90" s="529">
        <v>969</v>
      </c>
      <c r="G90" s="726">
        <f t="shared" si="3"/>
        <v>3.4908855104834644</v>
      </c>
    </row>
    <row r="91" spans="1:7" s="241" customFormat="1" ht="38.25" customHeight="1" x14ac:dyDescent="0.3">
      <c r="A91" s="220"/>
      <c r="B91" s="239"/>
      <c r="C91" s="553" t="s">
        <v>650</v>
      </c>
      <c r="D91" s="527"/>
      <c r="E91" s="527">
        <v>6959</v>
      </c>
      <c r="F91" s="529"/>
      <c r="G91" s="726">
        <f t="shared" si="3"/>
        <v>0</v>
      </c>
    </row>
    <row r="92" spans="1:7" s="192" customFormat="1" ht="42.75" customHeight="1" x14ac:dyDescent="0.3">
      <c r="A92" s="220"/>
      <c r="B92" s="216"/>
      <c r="C92" s="141" t="s">
        <v>445</v>
      </c>
      <c r="D92" s="512"/>
      <c r="E92" s="512">
        <v>52684</v>
      </c>
      <c r="F92" s="520"/>
      <c r="G92" s="726">
        <f t="shared" si="3"/>
        <v>0</v>
      </c>
    </row>
    <row r="93" spans="1:7" s="192" customFormat="1" ht="33" customHeight="1" x14ac:dyDescent="0.3">
      <c r="A93" s="220"/>
      <c r="B93" s="216"/>
      <c r="C93" s="188" t="s">
        <v>451</v>
      </c>
      <c r="D93" s="514"/>
      <c r="E93" s="514">
        <v>3290</v>
      </c>
      <c r="F93" s="528">
        <v>1848</v>
      </c>
      <c r="G93" s="732">
        <f t="shared" si="3"/>
        <v>56.170212765957451</v>
      </c>
    </row>
    <row r="94" spans="1:7" s="192" customFormat="1" ht="19.5" customHeight="1" x14ac:dyDescent="0.3">
      <c r="A94" s="220"/>
      <c r="B94" s="216"/>
      <c r="C94" s="141" t="s">
        <v>446</v>
      </c>
      <c r="D94" s="512"/>
      <c r="E94" s="512">
        <v>3988</v>
      </c>
      <c r="F94" s="520">
        <v>3988</v>
      </c>
      <c r="G94" s="726">
        <f t="shared" si="3"/>
        <v>100</v>
      </c>
    </row>
    <row r="95" spans="1:7" s="192" customFormat="1" ht="19.5" customHeight="1" x14ac:dyDescent="0.3">
      <c r="A95" s="220"/>
      <c r="B95" s="216"/>
      <c r="C95" s="141" t="s">
        <v>452</v>
      </c>
      <c r="D95" s="512"/>
      <c r="E95" s="512">
        <v>31955</v>
      </c>
      <c r="F95" s="520">
        <v>31211</v>
      </c>
      <c r="G95" s="726">
        <f t="shared" si="3"/>
        <v>97.671725864496949</v>
      </c>
    </row>
    <row r="96" spans="1:7" s="192" customFormat="1" ht="19.5" customHeight="1" x14ac:dyDescent="0.3">
      <c r="A96" s="220"/>
      <c r="B96" s="216"/>
      <c r="C96" s="141" t="s">
        <v>469</v>
      </c>
      <c r="D96" s="512"/>
      <c r="E96" s="512">
        <v>11960</v>
      </c>
      <c r="F96" s="520">
        <v>11960</v>
      </c>
      <c r="G96" s="726">
        <f t="shared" si="3"/>
        <v>100</v>
      </c>
    </row>
    <row r="97" spans="1:7" s="192" customFormat="1" ht="19.5" customHeight="1" x14ac:dyDescent="0.3">
      <c r="A97" s="220"/>
      <c r="B97" s="216"/>
      <c r="C97" s="141" t="s">
        <v>470</v>
      </c>
      <c r="D97" s="512"/>
      <c r="E97" s="512">
        <v>6960</v>
      </c>
      <c r="F97" s="520">
        <v>6810</v>
      </c>
      <c r="G97" s="726">
        <f t="shared" si="3"/>
        <v>97.84482758620689</v>
      </c>
    </row>
    <row r="98" spans="1:7" s="241" customFormat="1" ht="19.5" customHeight="1" x14ac:dyDescent="0.3">
      <c r="A98" s="220"/>
      <c r="B98" s="239"/>
      <c r="C98" s="245" t="s">
        <v>487</v>
      </c>
      <c r="D98" s="513"/>
      <c r="E98" s="513"/>
      <c r="F98" s="521"/>
      <c r="G98" s="726"/>
    </row>
    <row r="99" spans="1:7" s="241" customFormat="1" ht="19.5" customHeight="1" x14ac:dyDescent="0.3">
      <c r="A99" s="571"/>
      <c r="B99" s="239"/>
      <c r="C99" s="245" t="s">
        <v>585</v>
      </c>
      <c r="D99" s="513"/>
      <c r="E99" s="513">
        <v>162177</v>
      </c>
      <c r="F99" s="521">
        <v>18667</v>
      </c>
      <c r="G99" s="726">
        <f t="shared" si="3"/>
        <v>11.510263477558471</v>
      </c>
    </row>
    <row r="100" spans="1:7" s="241" customFormat="1" ht="19.5" customHeight="1" x14ac:dyDescent="0.3">
      <c r="A100" s="220"/>
      <c r="B100" s="239"/>
      <c r="C100" s="248" t="s">
        <v>586</v>
      </c>
      <c r="D100" s="513">
        <v>60000</v>
      </c>
      <c r="E100" s="513">
        <v>0</v>
      </c>
      <c r="F100" s="521"/>
      <c r="G100" s="726"/>
    </row>
    <row r="101" spans="1:7" s="241" customFormat="1" ht="19.5" customHeight="1" x14ac:dyDescent="0.3">
      <c r="A101" s="220"/>
      <c r="B101" s="239"/>
      <c r="C101" s="240" t="s">
        <v>488</v>
      </c>
      <c r="D101" s="513"/>
      <c r="E101" s="513">
        <v>146798</v>
      </c>
      <c r="F101" s="521">
        <v>988</v>
      </c>
      <c r="G101" s="726">
        <f t="shared" si="3"/>
        <v>0.67303369255711931</v>
      </c>
    </row>
    <row r="102" spans="1:7" s="241" customFormat="1" ht="19.5" customHeight="1" x14ac:dyDescent="0.3">
      <c r="A102" s="220"/>
      <c r="B102" s="239"/>
      <c r="C102" s="249" t="s">
        <v>161</v>
      </c>
      <c r="D102" s="513"/>
      <c r="E102" s="513">
        <v>1891</v>
      </c>
      <c r="F102" s="521">
        <v>1515</v>
      </c>
      <c r="G102" s="726">
        <f t="shared" si="3"/>
        <v>80.116340560549972</v>
      </c>
    </row>
    <row r="103" spans="1:7" s="192" customFormat="1" ht="19.5" customHeight="1" x14ac:dyDescent="0.3">
      <c r="A103" s="220"/>
      <c r="B103" s="216"/>
      <c r="C103" s="141" t="s">
        <v>383</v>
      </c>
      <c r="D103" s="512"/>
      <c r="E103" s="512">
        <v>62040</v>
      </c>
      <c r="F103" s="520">
        <v>38550</v>
      </c>
      <c r="G103" s="726">
        <f t="shared" ref="G103:G104" si="6">+F103/E103*100</f>
        <v>62.137330754352028</v>
      </c>
    </row>
    <row r="104" spans="1:7" s="192" customFormat="1" ht="19.5" customHeight="1" x14ac:dyDescent="0.3">
      <c r="A104" s="220"/>
      <c r="B104" s="216"/>
      <c r="C104" s="141" t="s">
        <v>298</v>
      </c>
      <c r="D104" s="512"/>
      <c r="E104" s="512">
        <v>256</v>
      </c>
      <c r="F104" s="555">
        <v>256</v>
      </c>
      <c r="G104" s="762">
        <f t="shared" si="6"/>
        <v>100</v>
      </c>
    </row>
    <row r="105" spans="1:7" s="192" customFormat="1" ht="19.5" customHeight="1" x14ac:dyDescent="0.3">
      <c r="A105" s="220"/>
      <c r="B105" s="216"/>
      <c r="C105" s="240" t="s">
        <v>273</v>
      </c>
      <c r="D105" s="518"/>
      <c r="E105" s="518">
        <v>38676</v>
      </c>
      <c r="F105" s="559">
        <v>36578</v>
      </c>
      <c r="G105" s="762">
        <f t="shared" ref="G105:G124" si="7">+F105/E105*100</f>
        <v>94.575447305822735</v>
      </c>
    </row>
    <row r="106" spans="1:7" s="192" customFormat="1" ht="19.5" customHeight="1" x14ac:dyDescent="0.3">
      <c r="A106" s="220"/>
      <c r="B106" s="216"/>
      <c r="C106" s="240" t="s">
        <v>297</v>
      </c>
      <c r="D106" s="512"/>
      <c r="E106" s="512">
        <v>160</v>
      </c>
      <c r="F106" s="555">
        <v>160</v>
      </c>
      <c r="G106" s="762">
        <f t="shared" si="7"/>
        <v>100</v>
      </c>
    </row>
    <row r="107" spans="1:7" s="192" customFormat="1" ht="33" customHeight="1" x14ac:dyDescent="0.3">
      <c r="A107" s="220"/>
      <c r="B107" s="216"/>
      <c r="C107" s="141" t="s">
        <v>326</v>
      </c>
      <c r="D107" s="512"/>
      <c r="E107" s="512">
        <v>200621</v>
      </c>
      <c r="F107" s="555">
        <v>200621</v>
      </c>
      <c r="G107" s="762">
        <f t="shared" si="7"/>
        <v>100</v>
      </c>
    </row>
    <row r="108" spans="1:7" s="192" customFormat="1" ht="33" customHeight="1" x14ac:dyDescent="0.3">
      <c r="A108" s="220"/>
      <c r="B108" s="216"/>
      <c r="C108" s="141" t="s">
        <v>327</v>
      </c>
      <c r="D108" s="512"/>
      <c r="E108" s="512">
        <v>1622</v>
      </c>
      <c r="F108" s="555">
        <v>1622</v>
      </c>
      <c r="G108" s="762">
        <f t="shared" si="7"/>
        <v>100</v>
      </c>
    </row>
    <row r="109" spans="1:7" s="192" customFormat="1" ht="19.5" customHeight="1" x14ac:dyDescent="0.3">
      <c r="A109" s="220"/>
      <c r="B109" s="216"/>
      <c r="C109" s="240" t="s">
        <v>417</v>
      </c>
      <c r="D109" s="518"/>
      <c r="E109" s="518">
        <v>513415</v>
      </c>
      <c r="F109" s="526">
        <v>288843</v>
      </c>
      <c r="G109" s="726">
        <f t="shared" si="7"/>
        <v>56.259166561163973</v>
      </c>
    </row>
    <row r="110" spans="1:7" s="192" customFormat="1" ht="19.5" customHeight="1" x14ac:dyDescent="0.3">
      <c r="A110" s="220"/>
      <c r="B110" s="216"/>
      <c r="C110" s="240" t="s">
        <v>457</v>
      </c>
      <c r="D110" s="518"/>
      <c r="E110" s="518">
        <v>126015</v>
      </c>
      <c r="F110" s="526"/>
      <c r="G110" s="726">
        <f t="shared" si="7"/>
        <v>0</v>
      </c>
    </row>
    <row r="111" spans="1:7" s="192" customFormat="1" ht="19.5" customHeight="1" x14ac:dyDescent="0.3">
      <c r="A111" s="220"/>
      <c r="B111" s="216"/>
      <c r="C111" s="240" t="s">
        <v>416</v>
      </c>
      <c r="D111" s="518"/>
      <c r="E111" s="518">
        <v>17164</v>
      </c>
      <c r="F111" s="526">
        <v>953</v>
      </c>
      <c r="G111" s="726">
        <f>+F111/E111*100</f>
        <v>5.5523188068049407</v>
      </c>
    </row>
    <row r="112" spans="1:7" s="192" customFormat="1" ht="33.75" customHeight="1" x14ac:dyDescent="0.3">
      <c r="A112" s="220"/>
      <c r="B112" s="216"/>
      <c r="C112" s="188" t="s">
        <v>458</v>
      </c>
      <c r="D112" s="512"/>
      <c r="E112" s="512">
        <v>162</v>
      </c>
      <c r="F112" s="520"/>
      <c r="G112" s="726">
        <f>+F112/E112*100</f>
        <v>0</v>
      </c>
    </row>
    <row r="113" spans="1:11" s="192" customFormat="1" ht="19.5" customHeight="1" x14ac:dyDescent="0.3">
      <c r="A113" s="220"/>
      <c r="B113" s="216"/>
      <c r="C113" s="188" t="s">
        <v>453</v>
      </c>
      <c r="D113" s="512"/>
      <c r="E113" s="512">
        <v>103926</v>
      </c>
      <c r="F113" s="520">
        <v>99950</v>
      </c>
      <c r="G113" s="726">
        <f t="shared" si="7"/>
        <v>96.174200873698595</v>
      </c>
    </row>
    <row r="114" spans="1:11" s="192" customFormat="1" ht="33" customHeight="1" x14ac:dyDescent="0.3">
      <c r="A114" s="220"/>
      <c r="B114" s="216"/>
      <c r="C114" s="188" t="s">
        <v>512</v>
      </c>
      <c r="D114" s="512"/>
      <c r="E114" s="512">
        <v>25577</v>
      </c>
      <c r="F114" s="520"/>
      <c r="G114" s="726">
        <f t="shared" si="7"/>
        <v>0</v>
      </c>
    </row>
    <row r="115" spans="1:11" s="192" customFormat="1" ht="33" customHeight="1" x14ac:dyDescent="0.3">
      <c r="A115" s="220"/>
      <c r="B115" s="216"/>
      <c r="C115" s="188" t="s">
        <v>454</v>
      </c>
      <c r="D115" s="512"/>
      <c r="E115" s="512">
        <v>16926</v>
      </c>
      <c r="F115" s="555">
        <v>8564</v>
      </c>
      <c r="G115" s="762">
        <f t="shared" si="7"/>
        <v>50.596715112844151</v>
      </c>
    </row>
    <row r="116" spans="1:11" s="192" customFormat="1" ht="33" customHeight="1" x14ac:dyDescent="0.3">
      <c r="A116" s="220"/>
      <c r="B116" s="216"/>
      <c r="C116" s="188" t="s">
        <v>597</v>
      </c>
      <c r="D116" s="512"/>
      <c r="E116" s="512">
        <v>103872</v>
      </c>
      <c r="F116" s="555">
        <v>103872</v>
      </c>
      <c r="G116" s="762">
        <f t="shared" si="7"/>
        <v>100</v>
      </c>
    </row>
    <row r="117" spans="1:11" s="192" customFormat="1" ht="33" customHeight="1" x14ac:dyDescent="0.3">
      <c r="A117" s="220"/>
      <c r="B117" s="216"/>
      <c r="C117" s="188" t="s">
        <v>455</v>
      </c>
      <c r="D117" s="512"/>
      <c r="E117" s="512">
        <v>166752</v>
      </c>
      <c r="F117" s="555">
        <v>155332</v>
      </c>
      <c r="G117" s="762">
        <f t="shared" si="7"/>
        <v>93.151506428708501</v>
      </c>
    </row>
    <row r="118" spans="1:11" s="192" customFormat="1" ht="33" customHeight="1" x14ac:dyDescent="0.3">
      <c r="A118" s="220"/>
      <c r="B118" s="216"/>
      <c r="C118" s="188" t="s">
        <v>499</v>
      </c>
      <c r="D118" s="512"/>
      <c r="E118" s="512">
        <v>39087</v>
      </c>
      <c r="F118" s="555"/>
      <c r="G118" s="762">
        <f t="shared" si="7"/>
        <v>0</v>
      </c>
    </row>
    <row r="119" spans="1:11" s="192" customFormat="1" ht="33" customHeight="1" x14ac:dyDescent="0.3">
      <c r="A119" s="220"/>
      <c r="B119" s="216"/>
      <c r="C119" s="188" t="s">
        <v>456</v>
      </c>
      <c r="D119" s="512"/>
      <c r="E119" s="512">
        <v>5396</v>
      </c>
      <c r="F119" s="555">
        <v>1679</v>
      </c>
      <c r="G119" s="762">
        <f t="shared" si="7"/>
        <v>31.115641215715346</v>
      </c>
    </row>
    <row r="120" spans="1:11" s="192" customFormat="1" ht="33" customHeight="1" x14ac:dyDescent="0.3">
      <c r="A120" s="220"/>
      <c r="B120" s="216"/>
      <c r="C120" s="188" t="s">
        <v>598</v>
      </c>
      <c r="D120" s="512"/>
      <c r="E120" s="512">
        <v>43955</v>
      </c>
      <c r="F120" s="555">
        <v>43955</v>
      </c>
      <c r="G120" s="762">
        <f t="shared" si="7"/>
        <v>100</v>
      </c>
    </row>
    <row r="121" spans="1:11" s="192" customFormat="1" ht="19.5" customHeight="1" x14ac:dyDescent="0.3">
      <c r="A121" s="220"/>
      <c r="B121" s="216"/>
      <c r="C121" s="188" t="s">
        <v>513</v>
      </c>
      <c r="D121" s="512"/>
      <c r="E121" s="512">
        <v>524209</v>
      </c>
      <c r="F121" s="555">
        <v>393546</v>
      </c>
      <c r="G121" s="762">
        <f t="shared" si="7"/>
        <v>75.07425473427584</v>
      </c>
    </row>
    <row r="122" spans="1:11" s="192" customFormat="1" ht="19.5" customHeight="1" x14ac:dyDescent="0.3">
      <c r="A122" s="220"/>
      <c r="B122" s="216"/>
      <c r="C122" s="188" t="s">
        <v>514</v>
      </c>
      <c r="D122" s="512"/>
      <c r="E122" s="512">
        <v>134696</v>
      </c>
      <c r="F122" s="555"/>
      <c r="G122" s="762">
        <f t="shared" si="7"/>
        <v>0</v>
      </c>
    </row>
    <row r="123" spans="1:11" s="192" customFormat="1" ht="19.5" customHeight="1" x14ac:dyDescent="0.3">
      <c r="A123" s="220"/>
      <c r="B123" s="216"/>
      <c r="C123" s="188" t="s">
        <v>558</v>
      </c>
      <c r="D123" s="512"/>
      <c r="E123" s="512">
        <v>7678</v>
      </c>
      <c r="F123" s="555">
        <v>7</v>
      </c>
      <c r="G123" s="762">
        <f t="shared" si="7"/>
        <v>9.116957541026309E-2</v>
      </c>
    </row>
    <row r="124" spans="1:11" s="192" customFormat="1" ht="33.75" customHeight="1" x14ac:dyDescent="0.3">
      <c r="A124" s="220"/>
      <c r="B124" s="216"/>
      <c r="C124" s="141" t="s">
        <v>596</v>
      </c>
      <c r="D124" s="512"/>
      <c r="E124" s="512">
        <v>224904</v>
      </c>
      <c r="F124" s="555">
        <v>224904</v>
      </c>
      <c r="G124" s="762">
        <f t="shared" si="7"/>
        <v>100</v>
      </c>
    </row>
    <row r="125" spans="1:11" s="192" customFormat="1" ht="19.5" customHeight="1" x14ac:dyDescent="0.3">
      <c r="A125" s="220"/>
      <c r="B125" s="227"/>
      <c r="C125" s="233" t="s">
        <v>40</v>
      </c>
      <c r="D125" s="530">
        <f>SUM(D30:D124)</f>
        <v>5340260</v>
      </c>
      <c r="E125" s="531">
        <f>SUM(E30:E124)</f>
        <v>7411237</v>
      </c>
      <c r="F125" s="532">
        <f>SUM(F30:F124)</f>
        <v>3051401</v>
      </c>
      <c r="G125" s="763">
        <f>+F125/E125*100</f>
        <v>41.172627457467627</v>
      </c>
      <c r="I125" s="217"/>
      <c r="J125" s="217"/>
      <c r="K125" s="217"/>
    </row>
    <row r="126" spans="1:11" s="192" customFormat="1" ht="19.5" customHeight="1" x14ac:dyDescent="0.3">
      <c r="A126" s="220"/>
      <c r="B126" s="226" t="s">
        <v>384</v>
      </c>
      <c r="C126" s="231" t="s">
        <v>426</v>
      </c>
      <c r="D126" s="533"/>
      <c r="E126" s="511"/>
      <c r="F126" s="511"/>
      <c r="G126" s="534"/>
    </row>
    <row r="127" spans="1:11" s="192" customFormat="1" ht="19.5" customHeight="1" x14ac:dyDescent="0.3">
      <c r="A127" s="220"/>
      <c r="B127" s="216"/>
      <c r="C127" s="569"/>
      <c r="D127" s="518"/>
      <c r="E127" s="518"/>
      <c r="F127" s="526"/>
      <c r="G127" s="767"/>
    </row>
    <row r="128" spans="1:11" s="231" customFormat="1" ht="19.5" customHeight="1" x14ac:dyDescent="0.3">
      <c r="A128" s="250"/>
      <c r="B128" s="226"/>
      <c r="C128" s="564" t="s">
        <v>427</v>
      </c>
      <c r="D128" s="570">
        <f>SUM(D127:D127)</f>
        <v>0</v>
      </c>
      <c r="E128" s="570">
        <f>SUM(E127:E127)</f>
        <v>0</v>
      </c>
      <c r="F128" s="570">
        <f>SUM(F127:F127)</f>
        <v>0</v>
      </c>
      <c r="G128" s="764"/>
    </row>
    <row r="129" spans="1:7" s="237" customFormat="1" ht="19.5" customHeight="1" thickBot="1" x14ac:dyDescent="0.35">
      <c r="A129" s="220"/>
      <c r="B129" s="251" t="s">
        <v>385</v>
      </c>
      <c r="C129" s="252" t="s">
        <v>58</v>
      </c>
      <c r="D129" s="535">
        <v>10000</v>
      </c>
      <c r="E129" s="535">
        <v>15037</v>
      </c>
      <c r="F129" s="535">
        <v>9821</v>
      </c>
      <c r="G129" s="768">
        <f>+F129/E129*100</f>
        <v>65.312229833078405</v>
      </c>
    </row>
    <row r="130" spans="1:7" s="192" customFormat="1" ht="19.5" customHeight="1" thickBot="1" x14ac:dyDescent="0.35">
      <c r="A130" s="220"/>
      <c r="B130" s="253"/>
      <c r="C130" s="254" t="s">
        <v>155</v>
      </c>
      <c r="D130" s="536">
        <f>D14+D15+D20+D27+D125+D129+D17+D126+D128</f>
        <v>5482760</v>
      </c>
      <c r="E130" s="536">
        <f>E14+E15+E20+E27+E125+E129+E17+E126+E128</f>
        <v>7831009</v>
      </c>
      <c r="F130" s="536">
        <f>F14+F20+F27+F125+F129+F17+F128</f>
        <v>3354474</v>
      </c>
      <c r="G130" s="537">
        <f>+F130/E130*100</f>
        <v>42.835782719698059</v>
      </c>
    </row>
    <row r="131" spans="1:7" ht="19.5" customHeight="1" x14ac:dyDescent="0.25">
      <c r="B131" s="45"/>
      <c r="C131" s="45"/>
      <c r="D131" s="45"/>
      <c r="E131" s="217"/>
      <c r="F131" s="217"/>
      <c r="G131" s="192"/>
    </row>
    <row r="132" spans="1:7" ht="19.5" customHeight="1" x14ac:dyDescent="0.25">
      <c r="B132" s="45"/>
      <c r="C132" s="45"/>
      <c r="D132" s="45"/>
      <c r="E132" s="217"/>
      <c r="F132" s="217"/>
      <c r="G132" s="192"/>
    </row>
    <row r="133" spans="1:7" ht="19.5" customHeight="1" x14ac:dyDescent="0.25">
      <c r="B133" s="45"/>
      <c r="C133" s="45"/>
      <c r="D133" s="45"/>
      <c r="E133" s="256"/>
      <c r="F133" s="256"/>
      <c r="G133" s="192"/>
    </row>
    <row r="134" spans="1:7" ht="19.5" customHeight="1" x14ac:dyDescent="0.25">
      <c r="B134" s="45"/>
      <c r="C134" s="45"/>
      <c r="D134" s="45"/>
      <c r="E134" s="217"/>
      <c r="F134" s="217"/>
      <c r="G134" s="192"/>
    </row>
    <row r="135" spans="1:7" ht="19.5" customHeight="1" x14ac:dyDescent="0.25">
      <c r="B135" s="45"/>
      <c r="C135" s="45"/>
      <c r="D135" s="45"/>
      <c r="E135" s="217"/>
      <c r="F135" s="217"/>
      <c r="G135" s="192"/>
    </row>
    <row r="136" spans="1:7" ht="19.5" customHeight="1" x14ac:dyDescent="0.25">
      <c r="B136" s="45"/>
      <c r="C136" s="45"/>
      <c r="D136" s="45"/>
      <c r="E136" s="217"/>
      <c r="F136" s="217"/>
      <c r="G136" s="192"/>
    </row>
    <row r="137" spans="1:7" ht="19.5" customHeight="1" x14ac:dyDescent="0.25">
      <c r="B137" s="45"/>
      <c r="C137" s="45"/>
      <c r="D137" s="45"/>
      <c r="E137" s="217"/>
      <c r="F137" s="217"/>
      <c r="G137" s="192"/>
    </row>
    <row r="138" spans="1:7" ht="19.5" customHeight="1" x14ac:dyDescent="0.25">
      <c r="B138" s="45"/>
      <c r="C138" s="45"/>
      <c r="D138" s="45"/>
      <c r="E138" s="217"/>
      <c r="F138" s="217"/>
      <c r="G138" s="192"/>
    </row>
    <row r="139" spans="1:7" ht="19.5" customHeight="1" x14ac:dyDescent="0.25">
      <c r="B139" s="45"/>
      <c r="C139" s="45"/>
      <c r="D139" s="45"/>
      <c r="E139" s="217"/>
      <c r="F139" s="217"/>
      <c r="G139" s="192"/>
    </row>
    <row r="140" spans="1:7" ht="19.5" customHeight="1" x14ac:dyDescent="0.25">
      <c r="B140" s="45"/>
      <c r="C140" s="45"/>
      <c r="D140" s="45"/>
      <c r="E140" s="217"/>
      <c r="F140" s="217"/>
      <c r="G140" s="192"/>
    </row>
    <row r="141" spans="1:7" ht="19.5" customHeight="1" x14ac:dyDescent="0.25">
      <c r="B141" s="45"/>
      <c r="C141" s="45"/>
      <c r="D141" s="45"/>
      <c r="E141" s="217"/>
      <c r="F141" s="217"/>
      <c r="G141" s="192"/>
    </row>
    <row r="142" spans="1:7" ht="15" customHeight="1" x14ac:dyDescent="0.25">
      <c r="F142" s="46"/>
    </row>
    <row r="145" spans="1:7" ht="15" customHeight="1" x14ac:dyDescent="0.25">
      <c r="G145" s="9"/>
    </row>
    <row r="147" spans="1:7" s="9" customFormat="1" ht="15" customHeight="1" x14ac:dyDescent="0.25">
      <c r="A147" s="47"/>
      <c r="B147" s="8"/>
      <c r="C147" s="8"/>
      <c r="D147" s="8"/>
      <c r="G147" s="8"/>
    </row>
    <row r="148" spans="1:7" s="9" customFormat="1" ht="15" customHeight="1" x14ac:dyDescent="0.25">
      <c r="A148" s="47"/>
      <c r="B148" s="8"/>
      <c r="C148" s="8"/>
      <c r="D148" s="8"/>
      <c r="G148" s="8"/>
    </row>
    <row r="149" spans="1:7" s="9" customFormat="1" ht="15" customHeight="1" x14ac:dyDescent="0.25">
      <c r="A149" s="47"/>
      <c r="B149" s="8"/>
      <c r="C149" s="8"/>
      <c r="D149" s="8"/>
      <c r="G149" s="8"/>
    </row>
    <row r="150" spans="1:7" s="9" customFormat="1" ht="15" customHeight="1" x14ac:dyDescent="0.25">
      <c r="A150" s="47"/>
      <c r="B150" s="8"/>
      <c r="C150" s="8"/>
      <c r="D150" s="8"/>
      <c r="G150" s="8"/>
    </row>
    <row r="151" spans="1:7" s="9" customFormat="1" ht="15" customHeight="1" x14ac:dyDescent="0.25">
      <c r="A151" s="47"/>
      <c r="B151" s="8"/>
      <c r="C151" s="8"/>
      <c r="D151" s="8"/>
      <c r="G151" s="8"/>
    </row>
    <row r="152" spans="1:7" s="9" customFormat="1" ht="15" customHeight="1" x14ac:dyDescent="0.25">
      <c r="A152" s="47"/>
      <c r="B152" s="8"/>
      <c r="C152" s="8"/>
      <c r="D152" s="8"/>
      <c r="G152" s="8"/>
    </row>
    <row r="153" spans="1:7" s="9" customFormat="1" ht="15" customHeight="1" x14ac:dyDescent="0.25">
      <c r="A153" s="47"/>
      <c r="B153" s="8"/>
      <c r="C153" s="8"/>
      <c r="D153" s="8"/>
      <c r="G153" s="8"/>
    </row>
    <row r="154" spans="1:7" s="9" customFormat="1" ht="15" customHeight="1" x14ac:dyDescent="0.25">
      <c r="A154" s="47"/>
      <c r="B154" s="8"/>
      <c r="C154" s="8"/>
      <c r="D154" s="8"/>
      <c r="G154" s="8"/>
    </row>
    <row r="155" spans="1:7" s="9" customFormat="1" ht="15" customHeight="1" x14ac:dyDescent="0.25">
      <c r="A155" s="47"/>
      <c r="B155" s="8"/>
      <c r="C155" s="8"/>
      <c r="D155" s="8"/>
      <c r="G155" s="8"/>
    </row>
    <row r="156" spans="1:7" s="9" customFormat="1" ht="15" customHeight="1" x14ac:dyDescent="0.25">
      <c r="A156" s="47"/>
      <c r="B156" s="8"/>
      <c r="C156" s="8"/>
      <c r="D156" s="8"/>
      <c r="G156" s="8"/>
    </row>
    <row r="157" spans="1:7" s="9" customFormat="1" ht="15" customHeight="1" x14ac:dyDescent="0.25">
      <c r="A157" s="47"/>
      <c r="B157" s="8"/>
      <c r="C157" s="8"/>
      <c r="D157" s="8"/>
      <c r="G157" s="8"/>
    </row>
    <row r="158" spans="1:7" s="9" customFormat="1" ht="15" customHeight="1" x14ac:dyDescent="0.25">
      <c r="A158" s="47"/>
      <c r="B158" s="8"/>
      <c r="C158" s="8"/>
      <c r="D158" s="8"/>
      <c r="G158" s="8"/>
    </row>
    <row r="159" spans="1:7" s="9" customFormat="1" ht="15" customHeight="1" x14ac:dyDescent="0.25">
      <c r="A159" s="47"/>
      <c r="B159" s="8"/>
      <c r="C159" s="8"/>
      <c r="D159" s="8"/>
      <c r="G159" s="8"/>
    </row>
    <row r="160" spans="1:7" s="9" customFormat="1" ht="15" customHeight="1" x14ac:dyDescent="0.25">
      <c r="A160" s="47"/>
      <c r="B160" s="8"/>
      <c r="C160" s="8"/>
      <c r="D160" s="8"/>
      <c r="G160" s="8"/>
    </row>
    <row r="161" spans="1:7" s="9" customFormat="1" ht="15" customHeight="1" x14ac:dyDescent="0.25">
      <c r="A161" s="47"/>
      <c r="B161" s="8"/>
      <c r="C161" s="8"/>
      <c r="D161" s="8"/>
      <c r="G161" s="8"/>
    </row>
    <row r="162" spans="1:7" s="9" customFormat="1" ht="15" customHeight="1" x14ac:dyDescent="0.25">
      <c r="A162" s="47"/>
      <c r="B162" s="8"/>
      <c r="C162" s="8"/>
      <c r="D162" s="8"/>
      <c r="G162" s="8"/>
    </row>
    <row r="163" spans="1:7" s="9" customFormat="1" ht="15" customHeight="1" x14ac:dyDescent="0.25">
      <c r="A163" s="47"/>
      <c r="B163" s="8"/>
      <c r="C163" s="8"/>
      <c r="D163" s="8"/>
      <c r="G163" s="8"/>
    </row>
    <row r="164" spans="1:7" s="9" customFormat="1" ht="15" customHeight="1" x14ac:dyDescent="0.25">
      <c r="A164" s="47"/>
      <c r="B164" s="8"/>
      <c r="C164" s="8"/>
      <c r="D164" s="8"/>
      <c r="G164" s="8"/>
    </row>
    <row r="165" spans="1:7" s="9" customFormat="1" ht="15" customHeight="1" x14ac:dyDescent="0.25">
      <c r="A165" s="47"/>
      <c r="B165" s="8"/>
      <c r="C165" s="8"/>
      <c r="D165" s="8"/>
      <c r="G165" s="8"/>
    </row>
    <row r="166" spans="1:7" s="9" customFormat="1" ht="15" customHeight="1" x14ac:dyDescent="0.25">
      <c r="A166" s="47"/>
      <c r="B166" s="8"/>
      <c r="C166" s="8"/>
      <c r="D166" s="8"/>
      <c r="G166" s="8"/>
    </row>
    <row r="167" spans="1:7" s="9" customFormat="1" ht="15" customHeight="1" x14ac:dyDescent="0.25">
      <c r="A167" s="47"/>
      <c r="B167" s="8"/>
      <c r="C167" s="8"/>
      <c r="D167" s="8"/>
      <c r="G167" s="8"/>
    </row>
    <row r="168" spans="1:7" s="9" customFormat="1" ht="15" customHeight="1" x14ac:dyDescent="0.25">
      <c r="A168" s="47"/>
      <c r="B168" s="8"/>
      <c r="C168" s="8"/>
      <c r="D168" s="8"/>
      <c r="G168" s="8"/>
    </row>
    <row r="169" spans="1:7" s="9" customFormat="1" ht="15" customHeight="1" x14ac:dyDescent="0.25">
      <c r="A169" s="47"/>
      <c r="B169" s="8"/>
      <c r="C169" s="8"/>
      <c r="D169" s="8"/>
      <c r="G169" s="8"/>
    </row>
    <row r="170" spans="1:7" s="9" customFormat="1" ht="15" customHeight="1" x14ac:dyDescent="0.25">
      <c r="A170" s="47"/>
      <c r="B170" s="8"/>
      <c r="C170" s="8"/>
      <c r="D170" s="8"/>
      <c r="G170" s="8"/>
    </row>
    <row r="171" spans="1:7" s="9" customFormat="1" ht="15" customHeight="1" x14ac:dyDescent="0.25">
      <c r="A171" s="47"/>
      <c r="B171" s="8"/>
      <c r="C171" s="8"/>
      <c r="D171" s="8"/>
      <c r="G171" s="8"/>
    </row>
    <row r="172" spans="1:7" s="9" customFormat="1" ht="15" customHeight="1" x14ac:dyDescent="0.25">
      <c r="A172" s="47"/>
      <c r="B172" s="8"/>
      <c r="C172" s="8"/>
      <c r="D172" s="8"/>
      <c r="G172" s="8"/>
    </row>
    <row r="173" spans="1:7" s="9" customFormat="1" ht="15" customHeight="1" x14ac:dyDescent="0.25">
      <c r="A173" s="47"/>
      <c r="B173" s="8"/>
      <c r="C173" s="8"/>
      <c r="D173" s="8"/>
      <c r="G173" s="8"/>
    </row>
    <row r="174" spans="1:7" s="9" customFormat="1" ht="15" customHeight="1" x14ac:dyDescent="0.25">
      <c r="A174" s="47"/>
      <c r="B174" s="8"/>
      <c r="C174" s="8"/>
      <c r="D174" s="8"/>
      <c r="G174" s="8"/>
    </row>
    <row r="175" spans="1:7" s="9" customFormat="1" ht="15" customHeight="1" x14ac:dyDescent="0.25">
      <c r="A175" s="47"/>
      <c r="B175" s="8"/>
      <c r="C175" s="8"/>
      <c r="D175" s="8"/>
      <c r="G175" s="8"/>
    </row>
    <row r="176" spans="1:7" s="9" customFormat="1" ht="15" customHeight="1" x14ac:dyDescent="0.25">
      <c r="A176" s="47"/>
      <c r="B176" s="8"/>
      <c r="C176" s="8"/>
      <c r="D176" s="8"/>
      <c r="G176" s="8"/>
    </row>
    <row r="177" spans="1:7" s="9" customFormat="1" ht="15" customHeight="1" x14ac:dyDescent="0.25">
      <c r="A177" s="47"/>
      <c r="B177" s="8"/>
      <c r="C177" s="8"/>
      <c r="D177" s="8"/>
      <c r="G177" s="8"/>
    </row>
    <row r="178" spans="1:7" s="9" customFormat="1" ht="15" customHeight="1" x14ac:dyDescent="0.25">
      <c r="A178" s="47"/>
      <c r="B178" s="8"/>
      <c r="C178" s="8"/>
      <c r="D178" s="8"/>
      <c r="G178" s="8"/>
    </row>
    <row r="179" spans="1:7" s="9" customFormat="1" ht="15" customHeight="1" x14ac:dyDescent="0.25">
      <c r="A179" s="47"/>
      <c r="B179" s="8"/>
      <c r="C179" s="8"/>
      <c r="D179" s="8"/>
      <c r="G179" s="8"/>
    </row>
    <row r="180" spans="1:7" s="9" customFormat="1" ht="15" customHeight="1" x14ac:dyDescent="0.25">
      <c r="A180" s="47"/>
      <c r="B180" s="8"/>
      <c r="C180" s="8"/>
      <c r="D180" s="8"/>
      <c r="G180" s="8"/>
    </row>
    <row r="181" spans="1:7" s="9" customFormat="1" ht="15" customHeight="1" x14ac:dyDescent="0.25">
      <c r="A181" s="47"/>
      <c r="B181" s="8"/>
      <c r="C181" s="8"/>
      <c r="D181" s="8"/>
      <c r="G181" s="8"/>
    </row>
    <row r="182" spans="1:7" s="9" customFormat="1" ht="15" customHeight="1" x14ac:dyDescent="0.25">
      <c r="A182" s="47"/>
      <c r="B182" s="8"/>
      <c r="C182" s="8"/>
      <c r="D182" s="8"/>
      <c r="G182" s="8"/>
    </row>
    <row r="183" spans="1:7" s="9" customFormat="1" ht="15" customHeight="1" x14ac:dyDescent="0.25">
      <c r="A183" s="47"/>
      <c r="B183" s="8"/>
      <c r="C183" s="8"/>
      <c r="D183" s="8"/>
      <c r="G183" s="8"/>
    </row>
    <row r="184" spans="1:7" s="9" customFormat="1" ht="15" customHeight="1" x14ac:dyDescent="0.25">
      <c r="A184" s="47"/>
      <c r="B184" s="8"/>
      <c r="C184" s="8"/>
      <c r="D184" s="8"/>
      <c r="G184" s="8"/>
    </row>
    <row r="185" spans="1:7" s="9" customFormat="1" ht="15" customHeight="1" x14ac:dyDescent="0.25">
      <c r="A185" s="47"/>
      <c r="B185" s="8"/>
      <c r="C185" s="8"/>
      <c r="D185" s="8"/>
      <c r="G185" s="8"/>
    </row>
    <row r="186" spans="1:7" s="9" customFormat="1" ht="15" customHeight="1" x14ac:dyDescent="0.25">
      <c r="A186" s="47"/>
      <c r="B186" s="8"/>
      <c r="C186" s="8"/>
      <c r="D186" s="8"/>
      <c r="G186" s="8"/>
    </row>
    <row r="187" spans="1:7" s="9" customFormat="1" ht="15" customHeight="1" x14ac:dyDescent="0.25">
      <c r="A187" s="47"/>
      <c r="B187" s="8"/>
      <c r="C187" s="8"/>
      <c r="D187" s="8"/>
      <c r="G187" s="8"/>
    </row>
    <row r="188" spans="1:7" s="9" customFormat="1" ht="15" customHeight="1" x14ac:dyDescent="0.25">
      <c r="A188" s="47"/>
      <c r="B188" s="8"/>
      <c r="C188" s="8"/>
      <c r="D188" s="8"/>
      <c r="G188" s="8"/>
    </row>
    <row r="189" spans="1:7" s="9" customFormat="1" ht="15" customHeight="1" x14ac:dyDescent="0.25">
      <c r="A189" s="47"/>
      <c r="B189" s="8"/>
      <c r="C189" s="8"/>
      <c r="D189" s="8"/>
      <c r="G189" s="8"/>
    </row>
    <row r="190" spans="1:7" s="9" customFormat="1" ht="15" customHeight="1" x14ac:dyDescent="0.25">
      <c r="A190" s="47"/>
      <c r="B190" s="8"/>
      <c r="C190" s="8"/>
      <c r="D190" s="8"/>
      <c r="G190" s="8"/>
    </row>
    <row r="191" spans="1:7" s="9" customFormat="1" ht="15" customHeight="1" x14ac:dyDescent="0.25">
      <c r="A191" s="47"/>
      <c r="B191" s="8"/>
      <c r="C191" s="8"/>
      <c r="D191" s="8"/>
      <c r="G191" s="8"/>
    </row>
    <row r="192" spans="1:7" s="9" customFormat="1" ht="15" customHeight="1" x14ac:dyDescent="0.25">
      <c r="A192" s="47"/>
      <c r="B192" s="8"/>
      <c r="C192" s="8"/>
      <c r="D192" s="8"/>
      <c r="G192" s="8"/>
    </row>
    <row r="193" spans="1:7" s="9" customFormat="1" ht="15" customHeight="1" x14ac:dyDescent="0.25">
      <c r="A193" s="47"/>
      <c r="B193" s="8"/>
      <c r="C193" s="8"/>
      <c r="D193" s="8"/>
      <c r="G193" s="8"/>
    </row>
    <row r="194" spans="1:7" s="9" customFormat="1" ht="15" customHeight="1" x14ac:dyDescent="0.25">
      <c r="A194" s="47"/>
      <c r="B194" s="8"/>
      <c r="C194" s="8"/>
      <c r="D194" s="8"/>
      <c r="G194" s="8"/>
    </row>
    <row r="195" spans="1:7" s="9" customFormat="1" ht="15" customHeight="1" x14ac:dyDescent="0.25">
      <c r="A195" s="47"/>
      <c r="B195" s="8"/>
      <c r="C195" s="8"/>
      <c r="D195" s="8"/>
      <c r="G195" s="8"/>
    </row>
    <row r="196" spans="1:7" s="9" customFormat="1" ht="15" customHeight="1" x14ac:dyDescent="0.25">
      <c r="A196" s="47"/>
      <c r="B196" s="8"/>
      <c r="C196" s="8"/>
      <c r="D196" s="8"/>
      <c r="G196" s="8"/>
    </row>
    <row r="197" spans="1:7" s="9" customFormat="1" ht="15" customHeight="1" x14ac:dyDescent="0.25">
      <c r="A197" s="47"/>
      <c r="B197" s="8"/>
      <c r="C197" s="8"/>
      <c r="D197" s="8"/>
      <c r="G197" s="8"/>
    </row>
    <row r="198" spans="1:7" s="9" customFormat="1" ht="15" customHeight="1" x14ac:dyDescent="0.25">
      <c r="A198" s="47"/>
      <c r="B198" s="8"/>
      <c r="C198" s="8"/>
      <c r="D198" s="8"/>
      <c r="G198" s="8"/>
    </row>
    <row r="199" spans="1:7" s="9" customFormat="1" ht="15" customHeight="1" x14ac:dyDescent="0.25">
      <c r="A199" s="47"/>
      <c r="B199" s="8"/>
      <c r="C199" s="8"/>
      <c r="D199" s="8"/>
      <c r="G199" s="8"/>
    </row>
    <row r="200" spans="1:7" s="9" customFormat="1" ht="15" customHeight="1" x14ac:dyDescent="0.25">
      <c r="A200" s="47"/>
      <c r="B200" s="8"/>
      <c r="C200" s="8"/>
      <c r="D200" s="8"/>
      <c r="G200" s="8"/>
    </row>
    <row r="201" spans="1:7" s="9" customFormat="1" ht="15" customHeight="1" x14ac:dyDescent="0.25">
      <c r="A201" s="47"/>
      <c r="B201" s="8"/>
      <c r="C201" s="8"/>
      <c r="D201" s="8"/>
      <c r="G201" s="8"/>
    </row>
    <row r="202" spans="1:7" s="9" customFormat="1" ht="15" customHeight="1" x14ac:dyDescent="0.25">
      <c r="A202" s="47"/>
      <c r="B202" s="8"/>
      <c r="C202" s="8"/>
      <c r="D202" s="8"/>
      <c r="G202" s="8"/>
    </row>
    <row r="203" spans="1:7" s="9" customFormat="1" ht="15" customHeight="1" x14ac:dyDescent="0.25">
      <c r="A203" s="47"/>
      <c r="B203" s="8"/>
      <c r="C203" s="8"/>
      <c r="D203" s="8"/>
      <c r="G203" s="8"/>
    </row>
    <row r="204" spans="1:7" s="9" customFormat="1" ht="15" customHeight="1" x14ac:dyDescent="0.25">
      <c r="A204" s="47"/>
      <c r="B204" s="8"/>
      <c r="C204" s="8"/>
      <c r="D204" s="8"/>
      <c r="G204" s="8"/>
    </row>
    <row r="205" spans="1:7" s="9" customFormat="1" ht="15" customHeight="1" x14ac:dyDescent="0.25">
      <c r="A205" s="47"/>
      <c r="B205" s="8"/>
      <c r="C205" s="8"/>
      <c r="D205" s="8"/>
      <c r="G205" s="8"/>
    </row>
    <row r="206" spans="1:7" s="9" customFormat="1" ht="15" customHeight="1" x14ac:dyDescent="0.25">
      <c r="A206" s="47"/>
      <c r="B206" s="8"/>
      <c r="C206" s="8"/>
      <c r="D206" s="8"/>
      <c r="G206" s="8"/>
    </row>
    <row r="207" spans="1:7" s="9" customFormat="1" ht="15" customHeight="1" x14ac:dyDescent="0.25">
      <c r="A207" s="47"/>
      <c r="B207" s="8"/>
      <c r="C207" s="8"/>
      <c r="D207" s="8"/>
      <c r="G207" s="8"/>
    </row>
    <row r="208" spans="1:7" s="9" customFormat="1" ht="15" customHeight="1" x14ac:dyDescent="0.25">
      <c r="A208" s="47"/>
      <c r="B208" s="8"/>
      <c r="C208" s="8"/>
      <c r="D208" s="8"/>
      <c r="G208" s="8"/>
    </row>
    <row r="209" spans="1:7" s="9" customFormat="1" ht="15" customHeight="1" x14ac:dyDescent="0.25">
      <c r="A209" s="47"/>
      <c r="B209" s="8"/>
      <c r="C209" s="8"/>
      <c r="D209" s="8"/>
      <c r="G209" s="8"/>
    </row>
    <row r="210" spans="1:7" s="9" customFormat="1" ht="15" customHeight="1" x14ac:dyDescent="0.25">
      <c r="A210" s="47"/>
      <c r="B210" s="8"/>
      <c r="C210" s="8"/>
      <c r="D210" s="8"/>
      <c r="G210" s="8"/>
    </row>
    <row r="211" spans="1:7" s="9" customFormat="1" ht="15" customHeight="1" x14ac:dyDescent="0.25">
      <c r="A211" s="47"/>
      <c r="B211" s="8"/>
      <c r="C211" s="8"/>
      <c r="D211" s="8"/>
      <c r="G211" s="8"/>
    </row>
    <row r="212" spans="1:7" s="9" customFormat="1" ht="15" customHeight="1" x14ac:dyDescent="0.25">
      <c r="A212" s="47"/>
      <c r="B212" s="8"/>
      <c r="C212" s="8"/>
      <c r="D212" s="8"/>
      <c r="G212" s="8"/>
    </row>
    <row r="213" spans="1:7" s="9" customFormat="1" ht="15" customHeight="1" x14ac:dyDescent="0.25">
      <c r="A213" s="47"/>
      <c r="B213" s="8"/>
      <c r="C213" s="8"/>
      <c r="D213" s="8"/>
      <c r="G213" s="8"/>
    </row>
    <row r="214" spans="1:7" s="9" customFormat="1" ht="15" customHeight="1" x14ac:dyDescent="0.25">
      <c r="A214" s="47"/>
      <c r="B214" s="8"/>
      <c r="C214" s="8"/>
      <c r="D214" s="8"/>
      <c r="G214" s="8"/>
    </row>
    <row r="215" spans="1:7" s="9" customFormat="1" ht="15" customHeight="1" x14ac:dyDescent="0.25">
      <c r="A215" s="47"/>
      <c r="B215" s="8"/>
      <c r="C215" s="8"/>
      <c r="D215" s="8"/>
      <c r="G215" s="8"/>
    </row>
    <row r="216" spans="1:7" s="9" customFormat="1" ht="15" customHeight="1" x14ac:dyDescent="0.25">
      <c r="A216" s="47"/>
      <c r="B216" s="8"/>
      <c r="C216" s="8"/>
      <c r="D216" s="8"/>
      <c r="G216" s="8"/>
    </row>
    <row r="217" spans="1:7" s="9" customFormat="1" ht="15" customHeight="1" x14ac:dyDescent="0.25">
      <c r="A217" s="47"/>
      <c r="B217" s="8"/>
      <c r="C217" s="8"/>
      <c r="D217" s="8"/>
      <c r="G217" s="8"/>
    </row>
    <row r="218" spans="1:7" s="9" customFormat="1" ht="15" customHeight="1" x14ac:dyDescent="0.25">
      <c r="A218" s="47"/>
      <c r="B218" s="8"/>
      <c r="C218" s="8"/>
      <c r="D218" s="8"/>
      <c r="G218" s="8"/>
    </row>
    <row r="219" spans="1:7" s="9" customFormat="1" ht="15" customHeight="1" x14ac:dyDescent="0.25">
      <c r="A219" s="47"/>
      <c r="B219" s="8"/>
      <c r="C219" s="8"/>
      <c r="D219" s="8"/>
      <c r="G219" s="8"/>
    </row>
    <row r="220" spans="1:7" s="9" customFormat="1" ht="15" customHeight="1" x14ac:dyDescent="0.25">
      <c r="A220" s="47"/>
      <c r="B220" s="8"/>
      <c r="C220" s="8"/>
      <c r="D220" s="8"/>
      <c r="G220" s="8"/>
    </row>
    <row r="221" spans="1:7" s="9" customFormat="1" ht="15" customHeight="1" x14ac:dyDescent="0.25">
      <c r="A221" s="47"/>
      <c r="B221" s="8"/>
      <c r="C221" s="8"/>
      <c r="D221" s="8"/>
      <c r="G221" s="8"/>
    </row>
    <row r="222" spans="1:7" s="9" customFormat="1" ht="15" customHeight="1" x14ac:dyDescent="0.25">
      <c r="A222" s="47"/>
      <c r="B222" s="8"/>
      <c r="C222" s="8"/>
      <c r="D222" s="8"/>
      <c r="G222" s="8"/>
    </row>
    <row r="223" spans="1:7" s="9" customFormat="1" ht="15" customHeight="1" x14ac:dyDescent="0.25">
      <c r="A223" s="47"/>
      <c r="B223" s="8"/>
      <c r="C223" s="8"/>
      <c r="D223" s="8"/>
      <c r="G223" s="8"/>
    </row>
    <row r="224" spans="1:7" s="9" customFormat="1" ht="15" customHeight="1" x14ac:dyDescent="0.25">
      <c r="A224" s="47"/>
      <c r="B224" s="8"/>
      <c r="C224" s="8"/>
      <c r="D224" s="8"/>
      <c r="G224" s="8"/>
    </row>
    <row r="225" spans="1:7" s="9" customFormat="1" ht="15" customHeight="1" x14ac:dyDescent="0.25">
      <c r="A225" s="47"/>
      <c r="B225" s="8"/>
      <c r="C225" s="8"/>
      <c r="D225" s="8"/>
      <c r="G225" s="8"/>
    </row>
    <row r="226" spans="1:7" s="9" customFormat="1" ht="15" customHeight="1" x14ac:dyDescent="0.25">
      <c r="A226" s="47"/>
      <c r="B226" s="8"/>
      <c r="C226" s="8"/>
      <c r="D226" s="8"/>
      <c r="G226" s="8"/>
    </row>
    <row r="227" spans="1:7" s="9" customFormat="1" ht="15" customHeight="1" x14ac:dyDescent="0.25">
      <c r="A227" s="47"/>
      <c r="B227" s="8"/>
      <c r="C227" s="8"/>
      <c r="D227" s="8"/>
      <c r="G227" s="8"/>
    </row>
    <row r="228" spans="1:7" s="9" customFormat="1" ht="15" customHeight="1" x14ac:dyDescent="0.25">
      <c r="A228" s="47"/>
      <c r="B228" s="8"/>
      <c r="C228" s="8"/>
      <c r="D228" s="8"/>
      <c r="G228" s="8"/>
    </row>
    <row r="229" spans="1:7" s="9" customFormat="1" ht="15" customHeight="1" x14ac:dyDescent="0.25">
      <c r="A229" s="47"/>
      <c r="B229" s="8"/>
      <c r="C229" s="8"/>
      <c r="D229" s="8"/>
      <c r="G229" s="8"/>
    </row>
    <row r="230" spans="1:7" s="9" customFormat="1" ht="15" customHeight="1" x14ac:dyDescent="0.25">
      <c r="A230" s="47"/>
      <c r="B230" s="8"/>
      <c r="C230" s="8"/>
      <c r="D230" s="8"/>
      <c r="G230" s="8"/>
    </row>
    <row r="231" spans="1:7" s="9" customFormat="1" ht="15" customHeight="1" x14ac:dyDescent="0.25">
      <c r="A231" s="47"/>
      <c r="B231" s="8"/>
      <c r="C231" s="8"/>
      <c r="D231" s="8"/>
      <c r="G231" s="8"/>
    </row>
    <row r="232" spans="1:7" s="9" customFormat="1" ht="15" customHeight="1" x14ac:dyDescent="0.25">
      <c r="A232" s="47"/>
      <c r="B232" s="8"/>
      <c r="C232" s="8"/>
      <c r="D232" s="8"/>
      <c r="G232" s="8"/>
    </row>
    <row r="233" spans="1:7" s="9" customFormat="1" ht="15" customHeight="1" x14ac:dyDescent="0.25">
      <c r="A233" s="47"/>
      <c r="B233" s="8"/>
      <c r="C233" s="8"/>
      <c r="D233" s="8"/>
      <c r="G233" s="8"/>
    </row>
    <row r="234" spans="1:7" s="9" customFormat="1" ht="15" customHeight="1" x14ac:dyDescent="0.25">
      <c r="A234" s="47"/>
      <c r="B234" s="8"/>
      <c r="C234" s="8"/>
      <c r="D234" s="8"/>
      <c r="G234" s="8"/>
    </row>
    <row r="235" spans="1:7" s="9" customFormat="1" ht="15" customHeight="1" x14ac:dyDescent="0.25">
      <c r="A235" s="47"/>
      <c r="B235" s="8"/>
      <c r="C235" s="8"/>
      <c r="D235" s="8"/>
      <c r="G235" s="8"/>
    </row>
    <row r="236" spans="1:7" s="9" customFormat="1" ht="15" customHeight="1" x14ac:dyDescent="0.25">
      <c r="A236" s="47"/>
      <c r="B236" s="8"/>
      <c r="C236" s="8"/>
      <c r="D236" s="8"/>
      <c r="G236" s="8"/>
    </row>
    <row r="237" spans="1:7" s="9" customFormat="1" ht="15" customHeight="1" x14ac:dyDescent="0.25">
      <c r="A237" s="47"/>
      <c r="B237" s="8"/>
      <c r="C237" s="8"/>
      <c r="D237" s="8"/>
      <c r="G237" s="8"/>
    </row>
    <row r="238" spans="1:7" s="9" customFormat="1" ht="15" customHeight="1" x14ac:dyDescent="0.25">
      <c r="A238" s="47"/>
      <c r="B238" s="8"/>
      <c r="C238" s="8"/>
      <c r="D238" s="8"/>
      <c r="G238" s="8"/>
    </row>
    <row r="239" spans="1:7" s="9" customFormat="1" ht="15" customHeight="1" x14ac:dyDescent="0.25">
      <c r="A239" s="47"/>
      <c r="B239" s="8"/>
      <c r="C239" s="8"/>
      <c r="D239" s="8"/>
      <c r="G239" s="8"/>
    </row>
    <row r="240" spans="1:7" s="9" customFormat="1" ht="15" customHeight="1" x14ac:dyDescent="0.25">
      <c r="A240" s="47"/>
      <c r="B240" s="8"/>
      <c r="C240" s="8"/>
      <c r="D240" s="8"/>
      <c r="G240" s="8"/>
    </row>
    <row r="241" spans="1:7" s="9" customFormat="1" ht="15" customHeight="1" x14ac:dyDescent="0.25">
      <c r="A241" s="47"/>
      <c r="B241" s="8"/>
      <c r="C241" s="8"/>
      <c r="D241" s="8"/>
      <c r="G241" s="8"/>
    </row>
    <row r="242" spans="1:7" s="9" customFormat="1" ht="15" customHeight="1" x14ac:dyDescent="0.25">
      <c r="A242" s="47"/>
      <c r="B242" s="8"/>
      <c r="C242" s="8"/>
      <c r="D242" s="8"/>
      <c r="G242" s="8"/>
    </row>
    <row r="243" spans="1:7" s="9" customFormat="1" ht="15" customHeight="1" x14ac:dyDescent="0.25">
      <c r="A243" s="47"/>
      <c r="B243" s="8"/>
      <c r="C243" s="8"/>
      <c r="D243" s="8"/>
      <c r="G243" s="8"/>
    </row>
    <row r="244" spans="1:7" s="9" customFormat="1" ht="15" customHeight="1" x14ac:dyDescent="0.25">
      <c r="A244" s="47"/>
      <c r="B244" s="8"/>
      <c r="C244" s="8"/>
      <c r="D244" s="8"/>
      <c r="G244" s="8"/>
    </row>
    <row r="245" spans="1:7" s="9" customFormat="1" ht="15" customHeight="1" x14ac:dyDescent="0.25">
      <c r="A245" s="47"/>
      <c r="B245" s="8"/>
      <c r="C245" s="8"/>
      <c r="D245" s="8"/>
      <c r="G245" s="8"/>
    </row>
    <row r="246" spans="1:7" s="9" customFormat="1" ht="15" customHeight="1" x14ac:dyDescent="0.25">
      <c r="A246" s="47"/>
      <c r="B246" s="8"/>
      <c r="C246" s="8"/>
      <c r="D246" s="8"/>
      <c r="G246" s="8"/>
    </row>
    <row r="247" spans="1:7" s="9" customFormat="1" ht="15" customHeight="1" x14ac:dyDescent="0.25">
      <c r="A247" s="47"/>
      <c r="B247" s="8"/>
      <c r="C247" s="8"/>
      <c r="D247" s="8"/>
      <c r="G247" s="8"/>
    </row>
    <row r="248" spans="1:7" s="9" customFormat="1" ht="15" customHeight="1" x14ac:dyDescent="0.25">
      <c r="A248" s="47"/>
      <c r="B248" s="8"/>
      <c r="C248" s="8"/>
      <c r="D248" s="8"/>
      <c r="G248" s="8"/>
    </row>
    <row r="249" spans="1:7" s="9" customFormat="1" ht="15" customHeight="1" x14ac:dyDescent="0.25">
      <c r="A249" s="47"/>
      <c r="B249" s="8"/>
      <c r="C249" s="8"/>
      <c r="D249" s="8"/>
      <c r="G249" s="8"/>
    </row>
    <row r="250" spans="1:7" s="9" customFormat="1" ht="15" customHeight="1" x14ac:dyDescent="0.25">
      <c r="A250" s="47"/>
      <c r="B250" s="8"/>
      <c r="C250" s="8"/>
      <c r="D250" s="8"/>
      <c r="G250" s="8"/>
    </row>
    <row r="251" spans="1:7" s="9" customFormat="1" ht="15" customHeight="1" x14ac:dyDescent="0.25">
      <c r="A251" s="47"/>
      <c r="B251" s="8"/>
      <c r="C251" s="8"/>
      <c r="D251" s="8"/>
      <c r="G251" s="8"/>
    </row>
    <row r="252" spans="1:7" s="9" customFormat="1" ht="15" customHeight="1" x14ac:dyDescent="0.25">
      <c r="A252" s="47"/>
      <c r="B252" s="8"/>
      <c r="C252" s="8"/>
      <c r="D252" s="8"/>
      <c r="G252" s="8"/>
    </row>
    <row r="253" spans="1:7" s="9" customFormat="1" ht="15" customHeight="1" x14ac:dyDescent="0.25">
      <c r="A253" s="47"/>
      <c r="B253" s="8"/>
      <c r="C253" s="8"/>
      <c r="D253" s="8"/>
      <c r="G253" s="8"/>
    </row>
    <row r="254" spans="1:7" s="9" customFormat="1" ht="15" customHeight="1" x14ac:dyDescent="0.25">
      <c r="A254" s="47"/>
      <c r="B254" s="8"/>
      <c r="C254" s="8"/>
      <c r="D254" s="8"/>
      <c r="G254" s="8"/>
    </row>
    <row r="255" spans="1:7" s="9" customFormat="1" ht="15" customHeight="1" x14ac:dyDescent="0.25">
      <c r="A255" s="47"/>
      <c r="B255" s="8"/>
      <c r="C255" s="8"/>
      <c r="D255" s="8"/>
      <c r="G255" s="8"/>
    </row>
    <row r="256" spans="1:7" s="9" customFormat="1" ht="15" customHeight="1" x14ac:dyDescent="0.25">
      <c r="A256" s="47"/>
      <c r="B256" s="8"/>
      <c r="C256" s="8"/>
      <c r="D256" s="8"/>
      <c r="G256" s="8"/>
    </row>
    <row r="257" spans="1:7" s="9" customFormat="1" ht="15" customHeight="1" x14ac:dyDescent="0.25">
      <c r="A257" s="47"/>
      <c r="B257" s="8"/>
      <c r="C257" s="8"/>
      <c r="D257" s="8"/>
      <c r="G257" s="8"/>
    </row>
    <row r="258" spans="1:7" s="9" customFormat="1" ht="15" customHeight="1" x14ac:dyDescent="0.25">
      <c r="A258" s="47"/>
      <c r="B258" s="8"/>
      <c r="C258" s="8"/>
      <c r="D258" s="8"/>
      <c r="G258" s="8"/>
    </row>
    <row r="259" spans="1:7" s="9" customFormat="1" ht="15" customHeight="1" x14ac:dyDescent="0.25">
      <c r="A259" s="47"/>
      <c r="B259" s="8"/>
      <c r="C259" s="8"/>
      <c r="D259" s="8"/>
      <c r="G259" s="8"/>
    </row>
    <row r="260" spans="1:7" s="9" customFormat="1" ht="15" customHeight="1" x14ac:dyDescent="0.25">
      <c r="A260" s="47"/>
      <c r="B260" s="8"/>
      <c r="C260" s="8"/>
      <c r="D260" s="8"/>
      <c r="G260" s="8"/>
    </row>
    <row r="261" spans="1:7" s="9" customFormat="1" ht="15" customHeight="1" x14ac:dyDescent="0.25">
      <c r="A261" s="47"/>
      <c r="B261" s="8"/>
      <c r="C261" s="8"/>
      <c r="D261" s="8"/>
      <c r="G261" s="8"/>
    </row>
    <row r="262" spans="1:7" s="9" customFormat="1" ht="15" customHeight="1" x14ac:dyDescent="0.25">
      <c r="A262" s="47"/>
      <c r="B262" s="8"/>
      <c r="C262" s="8"/>
      <c r="D262" s="8"/>
      <c r="G262" s="8"/>
    </row>
    <row r="263" spans="1:7" s="9" customFormat="1" ht="15" customHeight="1" x14ac:dyDescent="0.25">
      <c r="A263" s="47"/>
      <c r="B263" s="8"/>
      <c r="C263" s="8"/>
      <c r="D263" s="8"/>
      <c r="G263" s="8"/>
    </row>
    <row r="264" spans="1:7" s="9" customFormat="1" ht="15" customHeight="1" x14ac:dyDescent="0.25">
      <c r="A264" s="47"/>
      <c r="B264" s="8"/>
      <c r="C264" s="8"/>
      <c r="D264" s="8"/>
      <c r="G264" s="8"/>
    </row>
    <row r="265" spans="1:7" s="9" customFormat="1" ht="15" customHeight="1" x14ac:dyDescent="0.25">
      <c r="A265" s="47"/>
      <c r="B265" s="8"/>
      <c r="C265" s="8"/>
      <c r="D265" s="8"/>
      <c r="G265" s="8"/>
    </row>
    <row r="266" spans="1:7" s="9" customFormat="1" ht="15" customHeight="1" x14ac:dyDescent="0.25">
      <c r="A266" s="47"/>
      <c r="B266" s="8"/>
      <c r="C266" s="8"/>
      <c r="D266" s="8"/>
      <c r="G266" s="8"/>
    </row>
    <row r="267" spans="1:7" s="9" customFormat="1" ht="15" customHeight="1" x14ac:dyDescent="0.25">
      <c r="A267" s="47"/>
      <c r="B267" s="8"/>
      <c r="C267" s="8"/>
      <c r="D267" s="8"/>
      <c r="G267" s="8"/>
    </row>
    <row r="268" spans="1:7" s="9" customFormat="1" ht="15" customHeight="1" x14ac:dyDescent="0.25">
      <c r="A268" s="47"/>
      <c r="B268" s="8"/>
      <c r="C268" s="8"/>
      <c r="D268" s="8"/>
      <c r="G268" s="8"/>
    </row>
    <row r="269" spans="1:7" s="9" customFormat="1" ht="15" customHeight="1" x14ac:dyDescent="0.25">
      <c r="A269" s="47"/>
      <c r="B269" s="8"/>
      <c r="C269" s="8"/>
      <c r="D269" s="8"/>
      <c r="G269" s="8"/>
    </row>
    <row r="270" spans="1:7" s="9" customFormat="1" ht="15" customHeight="1" x14ac:dyDescent="0.25">
      <c r="A270" s="47"/>
      <c r="B270" s="8"/>
      <c r="C270" s="8"/>
      <c r="D270" s="8"/>
      <c r="G270" s="8"/>
    </row>
    <row r="271" spans="1:7" s="9" customFormat="1" ht="15" customHeight="1" x14ac:dyDescent="0.25">
      <c r="A271" s="47"/>
      <c r="B271" s="8"/>
      <c r="C271" s="8"/>
      <c r="D271" s="8"/>
      <c r="G271" s="8"/>
    </row>
    <row r="272" spans="1:7" s="9" customFormat="1" ht="15" customHeight="1" x14ac:dyDescent="0.25">
      <c r="A272" s="47"/>
      <c r="B272" s="8"/>
      <c r="C272" s="8"/>
      <c r="D272" s="8"/>
      <c r="G272" s="8"/>
    </row>
    <row r="273" spans="1:7" s="9" customFormat="1" ht="15" customHeight="1" x14ac:dyDescent="0.25">
      <c r="A273" s="47"/>
      <c r="B273" s="8"/>
      <c r="C273" s="8"/>
      <c r="D273" s="8"/>
      <c r="G273" s="8"/>
    </row>
    <row r="274" spans="1:7" s="9" customFormat="1" ht="15" customHeight="1" x14ac:dyDescent="0.25">
      <c r="A274" s="47"/>
      <c r="B274" s="8"/>
      <c r="C274" s="8"/>
      <c r="D274" s="8"/>
      <c r="G274" s="8"/>
    </row>
    <row r="275" spans="1:7" s="9" customFormat="1" ht="15" customHeight="1" x14ac:dyDescent="0.25">
      <c r="A275" s="47"/>
      <c r="B275" s="8"/>
      <c r="C275" s="8"/>
      <c r="D275" s="8"/>
      <c r="G275" s="8"/>
    </row>
    <row r="276" spans="1:7" s="9" customFormat="1" ht="15" customHeight="1" x14ac:dyDescent="0.25">
      <c r="A276" s="47"/>
      <c r="B276" s="8"/>
      <c r="C276" s="8"/>
      <c r="D276" s="8"/>
      <c r="G276" s="8"/>
    </row>
    <row r="277" spans="1:7" s="9" customFormat="1" ht="15" customHeight="1" x14ac:dyDescent="0.25">
      <c r="A277" s="47"/>
      <c r="B277" s="8"/>
      <c r="C277" s="8"/>
      <c r="D277" s="8"/>
      <c r="G277" s="8"/>
    </row>
    <row r="278" spans="1:7" s="9" customFormat="1" ht="15" customHeight="1" x14ac:dyDescent="0.25">
      <c r="A278" s="47"/>
      <c r="B278" s="8"/>
      <c r="C278" s="8"/>
      <c r="D278" s="8"/>
      <c r="G278" s="8"/>
    </row>
    <row r="279" spans="1:7" s="9" customFormat="1" ht="15" customHeight="1" x14ac:dyDescent="0.25">
      <c r="A279" s="47"/>
      <c r="B279" s="8"/>
      <c r="C279" s="8"/>
      <c r="D279" s="8"/>
      <c r="G279" s="8"/>
    </row>
    <row r="280" spans="1:7" s="9" customFormat="1" ht="15" customHeight="1" x14ac:dyDescent="0.25">
      <c r="A280" s="47"/>
      <c r="B280" s="8"/>
      <c r="C280" s="8"/>
      <c r="D280" s="8"/>
      <c r="G280" s="8"/>
    </row>
    <row r="281" spans="1:7" s="9" customFormat="1" ht="15" customHeight="1" x14ac:dyDescent="0.25">
      <c r="A281" s="47"/>
      <c r="B281" s="8"/>
      <c r="C281" s="8"/>
      <c r="D281" s="8"/>
      <c r="G281" s="8"/>
    </row>
    <row r="282" spans="1:7" s="9" customFormat="1" ht="15" customHeight="1" x14ac:dyDescent="0.25">
      <c r="A282" s="47"/>
      <c r="B282" s="8"/>
      <c r="C282" s="8"/>
      <c r="D282" s="8"/>
      <c r="G282" s="8"/>
    </row>
    <row r="283" spans="1:7" s="9" customFormat="1" ht="15" customHeight="1" x14ac:dyDescent="0.25">
      <c r="A283" s="47"/>
      <c r="B283" s="8"/>
      <c r="C283" s="8"/>
      <c r="D283" s="8"/>
      <c r="G283" s="8"/>
    </row>
    <row r="284" spans="1:7" s="9" customFormat="1" ht="15" customHeight="1" x14ac:dyDescent="0.25">
      <c r="A284" s="47"/>
      <c r="B284" s="8"/>
      <c r="C284" s="8"/>
      <c r="D284" s="8"/>
      <c r="G284" s="8"/>
    </row>
    <row r="285" spans="1:7" s="9" customFormat="1" ht="15" customHeight="1" x14ac:dyDescent="0.25">
      <c r="A285" s="47"/>
      <c r="B285" s="8"/>
      <c r="C285" s="8"/>
      <c r="D285" s="8"/>
      <c r="G285" s="8"/>
    </row>
    <row r="286" spans="1:7" s="9" customFormat="1" ht="15" customHeight="1" x14ac:dyDescent="0.25">
      <c r="A286" s="47"/>
      <c r="B286" s="8"/>
      <c r="C286" s="8"/>
      <c r="D286" s="8"/>
      <c r="G286" s="8"/>
    </row>
    <row r="287" spans="1:7" s="9" customFormat="1" ht="15" customHeight="1" x14ac:dyDescent="0.25">
      <c r="A287" s="47"/>
      <c r="B287" s="8"/>
      <c r="C287" s="8"/>
      <c r="D287" s="8"/>
      <c r="G287" s="8"/>
    </row>
    <row r="288" spans="1:7" s="9" customFormat="1" ht="15" customHeight="1" x14ac:dyDescent="0.25">
      <c r="A288" s="47"/>
      <c r="B288" s="8"/>
      <c r="C288" s="8"/>
      <c r="D288" s="8"/>
      <c r="G288" s="8"/>
    </row>
    <row r="289" spans="1:7" s="9" customFormat="1" ht="15" customHeight="1" x14ac:dyDescent="0.25">
      <c r="A289" s="47"/>
      <c r="B289" s="8"/>
      <c r="C289" s="8"/>
      <c r="D289" s="8"/>
      <c r="G289" s="8"/>
    </row>
    <row r="290" spans="1:7" s="9" customFormat="1" ht="15" customHeight="1" x14ac:dyDescent="0.25">
      <c r="A290" s="47"/>
      <c r="B290" s="8"/>
      <c r="C290" s="8"/>
      <c r="D290" s="8"/>
      <c r="G290" s="8"/>
    </row>
    <row r="291" spans="1:7" s="9" customFormat="1" ht="15" customHeight="1" x14ac:dyDescent="0.25">
      <c r="A291" s="47"/>
      <c r="B291" s="8"/>
      <c r="C291" s="8"/>
      <c r="D291" s="8"/>
      <c r="G291" s="8"/>
    </row>
    <row r="292" spans="1:7" s="9" customFormat="1" ht="15" customHeight="1" x14ac:dyDescent="0.25">
      <c r="A292" s="47"/>
      <c r="B292" s="8"/>
      <c r="C292" s="8"/>
      <c r="D292" s="8"/>
      <c r="G292" s="8"/>
    </row>
    <row r="293" spans="1:7" s="9" customFormat="1" ht="15" customHeight="1" x14ac:dyDescent="0.25">
      <c r="A293" s="47"/>
      <c r="B293" s="8"/>
      <c r="C293" s="8"/>
      <c r="D293" s="8"/>
      <c r="G293" s="8"/>
    </row>
    <row r="294" spans="1:7" s="9" customFormat="1" ht="15" customHeight="1" x14ac:dyDescent="0.25">
      <c r="A294" s="47"/>
      <c r="B294" s="8"/>
      <c r="C294" s="8"/>
      <c r="D294" s="8"/>
      <c r="G294" s="8"/>
    </row>
    <row r="295" spans="1:7" s="9" customFormat="1" ht="15" customHeight="1" x14ac:dyDescent="0.25">
      <c r="A295" s="47"/>
      <c r="B295" s="8"/>
      <c r="C295" s="8"/>
      <c r="D295" s="8"/>
      <c r="G295" s="8"/>
    </row>
    <row r="296" spans="1:7" s="9" customFormat="1" ht="15" customHeight="1" x14ac:dyDescent="0.25">
      <c r="A296" s="47"/>
      <c r="B296" s="8"/>
      <c r="C296" s="8"/>
      <c r="D296" s="8"/>
      <c r="G296" s="8"/>
    </row>
    <row r="297" spans="1:7" s="9" customFormat="1" ht="15" customHeight="1" x14ac:dyDescent="0.25">
      <c r="A297" s="47"/>
      <c r="B297" s="8"/>
      <c r="C297" s="8"/>
      <c r="D297" s="8"/>
      <c r="G297" s="8"/>
    </row>
    <row r="298" spans="1:7" s="9" customFormat="1" ht="15" customHeight="1" x14ac:dyDescent="0.25">
      <c r="A298" s="47"/>
      <c r="B298" s="8"/>
      <c r="C298" s="8"/>
      <c r="D298" s="8"/>
      <c r="G298" s="8"/>
    </row>
    <row r="299" spans="1:7" s="9" customFormat="1" ht="15" customHeight="1" x14ac:dyDescent="0.25">
      <c r="A299" s="47"/>
      <c r="B299" s="8"/>
      <c r="C299" s="8"/>
      <c r="D299" s="8"/>
      <c r="G299" s="8"/>
    </row>
    <row r="300" spans="1:7" s="9" customFormat="1" ht="15" customHeight="1" x14ac:dyDescent="0.25">
      <c r="A300" s="47"/>
      <c r="B300" s="8"/>
      <c r="C300" s="8"/>
      <c r="D300" s="8"/>
      <c r="G300" s="8"/>
    </row>
    <row r="301" spans="1:7" s="9" customFormat="1" ht="15" customHeight="1" x14ac:dyDescent="0.25">
      <c r="A301" s="47"/>
      <c r="B301" s="8"/>
      <c r="C301" s="8"/>
      <c r="D301" s="8"/>
      <c r="G301" s="8"/>
    </row>
    <row r="302" spans="1:7" s="9" customFormat="1" ht="15" customHeight="1" x14ac:dyDescent="0.25">
      <c r="A302" s="47"/>
      <c r="B302" s="8"/>
      <c r="C302" s="8"/>
      <c r="D302" s="8"/>
      <c r="G302" s="8"/>
    </row>
    <row r="303" spans="1:7" s="9" customFormat="1" ht="15" customHeight="1" x14ac:dyDescent="0.25">
      <c r="A303" s="47"/>
      <c r="B303" s="8"/>
      <c r="C303" s="8"/>
      <c r="D303" s="8"/>
      <c r="G303" s="8"/>
    </row>
    <row r="304" spans="1:7" s="9" customFormat="1" ht="15" customHeight="1" x14ac:dyDescent="0.25">
      <c r="A304" s="47"/>
      <c r="B304" s="8"/>
      <c r="C304" s="8"/>
      <c r="D304" s="8"/>
      <c r="G304" s="8"/>
    </row>
    <row r="305" spans="1:7" s="9" customFormat="1" ht="15" customHeight="1" x14ac:dyDescent="0.25">
      <c r="A305" s="47"/>
      <c r="B305" s="8"/>
      <c r="C305" s="8"/>
      <c r="D305" s="8"/>
      <c r="G305" s="8"/>
    </row>
    <row r="306" spans="1:7" s="9" customFormat="1" ht="15" customHeight="1" x14ac:dyDescent="0.25">
      <c r="A306" s="47"/>
      <c r="B306" s="8"/>
      <c r="C306" s="8"/>
      <c r="D306" s="8"/>
      <c r="G306" s="8"/>
    </row>
    <row r="307" spans="1:7" s="9" customFormat="1" ht="15" customHeight="1" x14ac:dyDescent="0.25">
      <c r="A307" s="47"/>
      <c r="B307" s="8"/>
      <c r="C307" s="8"/>
      <c r="D307" s="8"/>
      <c r="G307" s="8"/>
    </row>
    <row r="308" spans="1:7" s="9" customFormat="1" ht="15" customHeight="1" x14ac:dyDescent="0.25">
      <c r="A308" s="47"/>
      <c r="B308" s="8"/>
      <c r="C308" s="8"/>
      <c r="D308" s="8"/>
      <c r="G308" s="8"/>
    </row>
    <row r="309" spans="1:7" s="9" customFormat="1" ht="15" customHeight="1" x14ac:dyDescent="0.25">
      <c r="A309" s="47"/>
      <c r="B309" s="8"/>
      <c r="C309" s="8"/>
      <c r="D309" s="8"/>
      <c r="G309" s="8"/>
    </row>
    <row r="310" spans="1:7" s="9" customFormat="1" ht="15" customHeight="1" x14ac:dyDescent="0.25">
      <c r="A310" s="47"/>
      <c r="B310" s="8"/>
      <c r="C310" s="8"/>
      <c r="D310" s="8"/>
      <c r="G310" s="8"/>
    </row>
    <row r="311" spans="1:7" s="9" customFormat="1" ht="15" customHeight="1" x14ac:dyDescent="0.25">
      <c r="A311" s="47"/>
      <c r="B311" s="8"/>
      <c r="C311" s="8"/>
      <c r="D311" s="8"/>
      <c r="G311" s="8"/>
    </row>
    <row r="312" spans="1:7" s="9" customFormat="1" ht="15" customHeight="1" x14ac:dyDescent="0.25">
      <c r="A312" s="47"/>
      <c r="B312" s="8"/>
      <c r="C312" s="8"/>
      <c r="D312" s="8"/>
      <c r="G312" s="8"/>
    </row>
    <row r="313" spans="1:7" s="9" customFormat="1" ht="15" customHeight="1" x14ac:dyDescent="0.25">
      <c r="A313" s="47"/>
      <c r="B313" s="8"/>
      <c r="C313" s="8"/>
      <c r="D313" s="8"/>
      <c r="G313" s="8"/>
    </row>
    <row r="314" spans="1:7" s="9" customFormat="1" ht="15" customHeight="1" x14ac:dyDescent="0.25">
      <c r="A314" s="47"/>
      <c r="B314" s="8"/>
      <c r="C314" s="8"/>
      <c r="D314" s="8"/>
      <c r="G314" s="8"/>
    </row>
    <row r="315" spans="1:7" s="9" customFormat="1" ht="15" customHeight="1" x14ac:dyDescent="0.25">
      <c r="A315" s="47"/>
      <c r="B315" s="8"/>
      <c r="C315" s="8"/>
      <c r="D315" s="8"/>
      <c r="G315" s="8"/>
    </row>
    <row r="316" spans="1:7" s="9" customFormat="1" ht="15" customHeight="1" x14ac:dyDescent="0.25">
      <c r="A316" s="47"/>
      <c r="B316" s="8"/>
      <c r="C316" s="8"/>
      <c r="D316" s="8"/>
      <c r="G316" s="8"/>
    </row>
    <row r="317" spans="1:7" s="9" customFormat="1" ht="15" customHeight="1" x14ac:dyDescent="0.25">
      <c r="A317" s="47"/>
      <c r="B317" s="8"/>
      <c r="C317" s="8"/>
      <c r="D317" s="8"/>
      <c r="G317" s="8"/>
    </row>
    <row r="318" spans="1:7" s="9" customFormat="1" ht="15" customHeight="1" x14ac:dyDescent="0.25">
      <c r="A318" s="47"/>
      <c r="B318" s="8"/>
      <c r="C318" s="8"/>
      <c r="D318" s="8"/>
      <c r="G318" s="8"/>
    </row>
    <row r="319" spans="1:7" s="9" customFormat="1" ht="15" customHeight="1" x14ac:dyDescent="0.25">
      <c r="A319" s="47"/>
      <c r="B319" s="8"/>
      <c r="C319" s="8"/>
      <c r="D319" s="8"/>
      <c r="G319" s="8"/>
    </row>
    <row r="320" spans="1:7" s="9" customFormat="1" ht="15" customHeight="1" x14ac:dyDescent="0.25">
      <c r="A320" s="47"/>
      <c r="B320" s="8"/>
      <c r="C320" s="8"/>
      <c r="D320" s="8"/>
      <c r="G320" s="8"/>
    </row>
    <row r="321" spans="1:7" s="9" customFormat="1" ht="15" customHeight="1" x14ac:dyDescent="0.25">
      <c r="A321" s="47"/>
      <c r="B321" s="8"/>
      <c r="C321" s="8"/>
      <c r="D321" s="8"/>
      <c r="G321" s="8"/>
    </row>
    <row r="322" spans="1:7" s="9" customFormat="1" ht="15" customHeight="1" x14ac:dyDescent="0.25">
      <c r="A322" s="47"/>
      <c r="B322" s="8"/>
      <c r="C322" s="8"/>
      <c r="D322" s="8"/>
      <c r="G322" s="8"/>
    </row>
    <row r="323" spans="1:7" s="9" customFormat="1" ht="15" customHeight="1" x14ac:dyDescent="0.25">
      <c r="A323" s="47"/>
      <c r="B323" s="8"/>
      <c r="C323" s="8"/>
      <c r="D323" s="8"/>
      <c r="G323" s="8"/>
    </row>
    <row r="324" spans="1:7" s="9" customFormat="1" ht="15" customHeight="1" x14ac:dyDescent="0.25">
      <c r="A324" s="47"/>
      <c r="B324" s="8"/>
      <c r="C324" s="8"/>
      <c r="D324" s="8"/>
      <c r="G324" s="8"/>
    </row>
    <row r="325" spans="1:7" s="9" customFormat="1" ht="15" customHeight="1" x14ac:dyDescent="0.25">
      <c r="A325" s="47"/>
      <c r="B325" s="8"/>
      <c r="C325" s="8"/>
      <c r="D325" s="8"/>
      <c r="G325" s="8"/>
    </row>
    <row r="326" spans="1:7" s="9" customFormat="1" ht="15" customHeight="1" x14ac:dyDescent="0.25">
      <c r="A326" s="47"/>
      <c r="B326" s="8"/>
      <c r="C326" s="8"/>
      <c r="D326" s="8"/>
      <c r="G326" s="8"/>
    </row>
    <row r="327" spans="1:7" s="9" customFormat="1" ht="15" customHeight="1" x14ac:dyDescent="0.25">
      <c r="A327" s="47"/>
      <c r="B327" s="8"/>
      <c r="C327" s="8"/>
      <c r="D327" s="8"/>
      <c r="G327" s="8"/>
    </row>
    <row r="328" spans="1:7" s="9" customFormat="1" ht="15" customHeight="1" x14ac:dyDescent="0.25">
      <c r="A328" s="47"/>
      <c r="B328" s="8"/>
      <c r="C328" s="8"/>
      <c r="D328" s="8"/>
      <c r="G328" s="8"/>
    </row>
    <row r="329" spans="1:7" s="9" customFormat="1" ht="15" customHeight="1" x14ac:dyDescent="0.25">
      <c r="A329" s="47"/>
      <c r="B329" s="8"/>
      <c r="C329" s="8"/>
      <c r="D329" s="8"/>
      <c r="G329" s="8"/>
    </row>
    <row r="330" spans="1:7" s="9" customFormat="1" ht="15" customHeight="1" x14ac:dyDescent="0.25">
      <c r="A330" s="47"/>
      <c r="B330" s="8"/>
      <c r="C330" s="8"/>
      <c r="D330" s="8"/>
      <c r="G330" s="8"/>
    </row>
    <row r="331" spans="1:7" s="9" customFormat="1" ht="15" customHeight="1" x14ac:dyDescent="0.25">
      <c r="A331" s="47"/>
      <c r="B331" s="8"/>
      <c r="C331" s="8"/>
      <c r="D331" s="8"/>
      <c r="G331" s="8"/>
    </row>
    <row r="332" spans="1:7" s="9" customFormat="1" ht="15" customHeight="1" x14ac:dyDescent="0.25">
      <c r="A332" s="47"/>
      <c r="B332" s="8"/>
      <c r="C332" s="8"/>
      <c r="D332" s="8"/>
      <c r="G332" s="8"/>
    </row>
    <row r="333" spans="1:7" s="9" customFormat="1" ht="15" customHeight="1" x14ac:dyDescent="0.25">
      <c r="A333" s="47"/>
      <c r="B333" s="8"/>
      <c r="C333" s="8"/>
      <c r="D333" s="8"/>
      <c r="G333" s="8"/>
    </row>
    <row r="334" spans="1:7" s="9" customFormat="1" ht="15" customHeight="1" x14ac:dyDescent="0.25">
      <c r="A334" s="47"/>
      <c r="B334" s="8"/>
      <c r="C334" s="8"/>
      <c r="D334" s="8"/>
      <c r="G334" s="8"/>
    </row>
    <row r="335" spans="1:7" s="9" customFormat="1" ht="15" customHeight="1" x14ac:dyDescent="0.25">
      <c r="A335" s="47"/>
      <c r="B335" s="8"/>
      <c r="C335" s="8"/>
      <c r="D335" s="8"/>
      <c r="G335" s="8"/>
    </row>
    <row r="336" spans="1:7" s="9" customFormat="1" ht="15" customHeight="1" x14ac:dyDescent="0.25">
      <c r="A336" s="47"/>
      <c r="B336" s="8"/>
      <c r="C336" s="8"/>
      <c r="D336" s="8"/>
      <c r="G336" s="8"/>
    </row>
    <row r="337" spans="1:7" s="9" customFormat="1" ht="15" customHeight="1" x14ac:dyDescent="0.25">
      <c r="A337" s="47"/>
      <c r="B337" s="8"/>
      <c r="C337" s="8"/>
      <c r="D337" s="8"/>
      <c r="G337" s="8"/>
    </row>
    <row r="338" spans="1:7" s="9" customFormat="1" ht="15" customHeight="1" x14ac:dyDescent="0.25">
      <c r="A338" s="47"/>
      <c r="B338" s="8"/>
      <c r="C338" s="8"/>
      <c r="D338" s="8"/>
      <c r="G338" s="8"/>
    </row>
    <row r="339" spans="1:7" s="9" customFormat="1" ht="15" customHeight="1" x14ac:dyDescent="0.25">
      <c r="A339" s="47"/>
      <c r="B339" s="8"/>
      <c r="C339" s="8"/>
      <c r="D339" s="8"/>
      <c r="G339" s="8"/>
    </row>
    <row r="340" spans="1:7" s="9" customFormat="1" ht="15" customHeight="1" x14ac:dyDescent="0.25">
      <c r="A340" s="47"/>
      <c r="B340" s="8"/>
      <c r="C340" s="8"/>
      <c r="D340" s="8"/>
      <c r="G340" s="8"/>
    </row>
    <row r="341" spans="1:7" s="9" customFormat="1" ht="15" customHeight="1" x14ac:dyDescent="0.25">
      <c r="A341" s="47"/>
      <c r="B341" s="8"/>
      <c r="C341" s="8"/>
      <c r="D341" s="8"/>
      <c r="G341" s="8"/>
    </row>
    <row r="342" spans="1:7" s="9" customFormat="1" ht="15" customHeight="1" x14ac:dyDescent="0.25">
      <c r="A342" s="47"/>
      <c r="B342" s="8"/>
      <c r="C342" s="8"/>
      <c r="D342" s="8"/>
      <c r="G342" s="8"/>
    </row>
    <row r="343" spans="1:7" s="9" customFormat="1" ht="15" customHeight="1" x14ac:dyDescent="0.25">
      <c r="A343" s="47"/>
      <c r="B343" s="8"/>
      <c r="C343" s="8"/>
      <c r="D343" s="8"/>
      <c r="G343" s="8"/>
    </row>
    <row r="344" spans="1:7" s="9" customFormat="1" ht="15" customHeight="1" x14ac:dyDescent="0.25">
      <c r="A344" s="47"/>
      <c r="B344" s="8"/>
      <c r="C344" s="8"/>
      <c r="D344" s="8"/>
      <c r="G344" s="8"/>
    </row>
    <row r="345" spans="1:7" s="9" customFormat="1" ht="15" customHeight="1" x14ac:dyDescent="0.25">
      <c r="A345" s="47"/>
      <c r="B345" s="8"/>
      <c r="C345" s="8"/>
      <c r="D345" s="8"/>
      <c r="G345" s="8"/>
    </row>
    <row r="346" spans="1:7" s="9" customFormat="1" ht="15" customHeight="1" x14ac:dyDescent="0.25">
      <c r="A346" s="47"/>
      <c r="B346" s="8"/>
      <c r="C346" s="8"/>
      <c r="D346" s="8"/>
      <c r="G346" s="8"/>
    </row>
    <row r="347" spans="1:7" s="9" customFormat="1" ht="15" customHeight="1" x14ac:dyDescent="0.25">
      <c r="A347" s="47"/>
      <c r="B347" s="8"/>
      <c r="C347" s="8"/>
      <c r="D347" s="8"/>
      <c r="G347" s="8"/>
    </row>
    <row r="348" spans="1:7" s="9" customFormat="1" ht="15" customHeight="1" x14ac:dyDescent="0.25">
      <c r="A348" s="47"/>
      <c r="B348" s="8"/>
      <c r="C348" s="8"/>
      <c r="D348" s="8"/>
      <c r="G348" s="8"/>
    </row>
    <row r="349" spans="1:7" s="9" customFormat="1" ht="15" customHeight="1" x14ac:dyDescent="0.25">
      <c r="A349" s="47"/>
      <c r="B349" s="8"/>
      <c r="C349" s="8"/>
      <c r="D349" s="8"/>
      <c r="G349" s="8"/>
    </row>
    <row r="350" spans="1:7" s="9" customFormat="1" ht="15" customHeight="1" x14ac:dyDescent="0.25">
      <c r="A350" s="47"/>
      <c r="B350" s="8"/>
      <c r="C350" s="8"/>
      <c r="D350" s="8"/>
      <c r="G350" s="8"/>
    </row>
    <row r="351" spans="1:7" s="9" customFormat="1" ht="15" customHeight="1" x14ac:dyDescent="0.25">
      <c r="A351" s="47"/>
      <c r="B351" s="8"/>
      <c r="C351" s="8"/>
      <c r="D351" s="8"/>
      <c r="G351" s="8"/>
    </row>
    <row r="352" spans="1:7" s="9" customFormat="1" ht="15" customHeight="1" x14ac:dyDescent="0.25">
      <c r="A352" s="47"/>
      <c r="B352" s="8"/>
      <c r="C352" s="8"/>
      <c r="D352" s="8"/>
      <c r="G352" s="8"/>
    </row>
    <row r="353" spans="1:7" s="9" customFormat="1" ht="15" customHeight="1" x14ac:dyDescent="0.25">
      <c r="A353" s="47"/>
      <c r="B353" s="8"/>
      <c r="C353" s="8"/>
      <c r="D353" s="8"/>
      <c r="G353" s="8"/>
    </row>
    <row r="354" spans="1:7" s="9" customFormat="1" ht="15" customHeight="1" x14ac:dyDescent="0.25">
      <c r="A354" s="47"/>
      <c r="B354" s="8"/>
      <c r="C354" s="8"/>
      <c r="D354" s="8"/>
      <c r="G354" s="8"/>
    </row>
    <row r="355" spans="1:7" s="9" customFormat="1" ht="15" customHeight="1" x14ac:dyDescent="0.25">
      <c r="A355" s="47"/>
      <c r="B355" s="8"/>
      <c r="C355" s="8"/>
      <c r="D355" s="8"/>
      <c r="G355" s="8"/>
    </row>
    <row r="356" spans="1:7" s="9" customFormat="1" ht="15" customHeight="1" x14ac:dyDescent="0.25">
      <c r="A356" s="47"/>
      <c r="B356" s="8"/>
      <c r="C356" s="8"/>
      <c r="D356" s="8"/>
      <c r="G356" s="8"/>
    </row>
    <row r="357" spans="1:7" s="9" customFormat="1" ht="15" customHeight="1" x14ac:dyDescent="0.25">
      <c r="A357" s="47"/>
      <c r="B357" s="8"/>
      <c r="C357" s="8"/>
      <c r="D357" s="8"/>
      <c r="G357" s="8"/>
    </row>
    <row r="358" spans="1:7" s="9" customFormat="1" ht="15" customHeight="1" x14ac:dyDescent="0.25">
      <c r="A358" s="47"/>
      <c r="B358" s="8"/>
      <c r="C358" s="8"/>
      <c r="D358" s="8"/>
      <c r="G358" s="8"/>
    </row>
    <row r="359" spans="1:7" s="9" customFormat="1" ht="15" customHeight="1" x14ac:dyDescent="0.25">
      <c r="A359" s="47"/>
      <c r="B359" s="8"/>
      <c r="C359" s="8"/>
      <c r="D359" s="8"/>
      <c r="G359" s="8"/>
    </row>
    <row r="360" spans="1:7" s="9" customFormat="1" ht="15" customHeight="1" x14ac:dyDescent="0.25">
      <c r="A360" s="47"/>
      <c r="B360" s="8"/>
      <c r="C360" s="8"/>
      <c r="D360" s="8"/>
      <c r="G360" s="8"/>
    </row>
    <row r="361" spans="1:7" s="9" customFormat="1" ht="15" customHeight="1" x14ac:dyDescent="0.25">
      <c r="A361" s="47"/>
      <c r="B361" s="8"/>
      <c r="C361" s="8"/>
      <c r="D361" s="8"/>
      <c r="G361" s="8"/>
    </row>
    <row r="362" spans="1:7" s="9" customFormat="1" ht="15" customHeight="1" x14ac:dyDescent="0.25">
      <c r="A362" s="47"/>
      <c r="B362" s="8"/>
      <c r="C362" s="8"/>
      <c r="D362" s="8"/>
      <c r="G362" s="8"/>
    </row>
    <row r="363" spans="1:7" s="9" customFormat="1" ht="15" customHeight="1" x14ac:dyDescent="0.25">
      <c r="A363" s="47"/>
      <c r="B363" s="8"/>
      <c r="C363" s="8"/>
      <c r="D363" s="8"/>
      <c r="G363" s="8"/>
    </row>
    <row r="364" spans="1:7" s="9" customFormat="1" ht="15" customHeight="1" x14ac:dyDescent="0.25">
      <c r="A364" s="47"/>
      <c r="B364" s="8"/>
      <c r="C364" s="8"/>
      <c r="D364" s="8"/>
      <c r="G364" s="8"/>
    </row>
    <row r="365" spans="1:7" s="9" customFormat="1" ht="15" customHeight="1" x14ac:dyDescent="0.25">
      <c r="A365" s="47"/>
      <c r="B365" s="8"/>
      <c r="C365" s="8"/>
      <c r="D365" s="8"/>
      <c r="G365" s="8"/>
    </row>
    <row r="366" spans="1:7" s="9" customFormat="1" ht="15" customHeight="1" x14ac:dyDescent="0.25">
      <c r="A366" s="47"/>
      <c r="B366" s="8"/>
      <c r="C366" s="8"/>
      <c r="D366" s="8"/>
      <c r="G366" s="8"/>
    </row>
    <row r="367" spans="1:7" s="9" customFormat="1" ht="15" customHeight="1" x14ac:dyDescent="0.25">
      <c r="A367" s="47"/>
      <c r="B367" s="8"/>
      <c r="C367" s="8"/>
      <c r="D367" s="8"/>
      <c r="G367" s="8"/>
    </row>
    <row r="368" spans="1:7" s="9" customFormat="1" ht="15" customHeight="1" x14ac:dyDescent="0.25">
      <c r="A368" s="47"/>
      <c r="B368" s="8"/>
      <c r="C368" s="8"/>
      <c r="D368" s="8"/>
      <c r="G368" s="8"/>
    </row>
    <row r="369" spans="1:7" s="9" customFormat="1" ht="15" customHeight="1" x14ac:dyDescent="0.25">
      <c r="A369" s="47"/>
      <c r="B369" s="8"/>
      <c r="C369" s="8"/>
      <c r="D369" s="8"/>
      <c r="G369" s="8"/>
    </row>
    <row r="370" spans="1:7" s="9" customFormat="1" ht="15" customHeight="1" x14ac:dyDescent="0.25">
      <c r="A370" s="47"/>
      <c r="B370" s="8"/>
      <c r="C370" s="8"/>
      <c r="D370" s="8"/>
      <c r="G370" s="8"/>
    </row>
    <row r="371" spans="1:7" s="9" customFormat="1" ht="15" customHeight="1" x14ac:dyDescent="0.25">
      <c r="A371" s="47"/>
      <c r="B371" s="8"/>
      <c r="C371" s="8"/>
      <c r="D371" s="8"/>
      <c r="G371" s="8"/>
    </row>
    <row r="372" spans="1:7" s="9" customFormat="1" ht="15" customHeight="1" x14ac:dyDescent="0.25">
      <c r="A372" s="47"/>
      <c r="B372" s="8"/>
      <c r="C372" s="8"/>
      <c r="D372" s="8"/>
      <c r="G372" s="8"/>
    </row>
    <row r="373" spans="1:7" s="9" customFormat="1" ht="15" customHeight="1" x14ac:dyDescent="0.25">
      <c r="A373" s="47"/>
      <c r="B373" s="8"/>
      <c r="C373" s="8"/>
      <c r="D373" s="8"/>
      <c r="G373" s="8"/>
    </row>
    <row r="374" spans="1:7" s="9" customFormat="1" ht="15" customHeight="1" x14ac:dyDescent="0.25">
      <c r="A374" s="47"/>
      <c r="B374" s="8"/>
      <c r="C374" s="8"/>
      <c r="D374" s="8"/>
      <c r="G374" s="8"/>
    </row>
    <row r="375" spans="1:7" s="9" customFormat="1" ht="15" customHeight="1" x14ac:dyDescent="0.25">
      <c r="A375" s="47"/>
      <c r="B375" s="8"/>
      <c r="C375" s="8"/>
      <c r="D375" s="8"/>
      <c r="G375" s="8"/>
    </row>
    <row r="376" spans="1:7" s="9" customFormat="1" ht="15" customHeight="1" x14ac:dyDescent="0.25">
      <c r="A376" s="47"/>
      <c r="B376" s="8"/>
      <c r="C376" s="8"/>
      <c r="D376" s="8"/>
      <c r="G376" s="8"/>
    </row>
    <row r="377" spans="1:7" s="9" customFormat="1" ht="15" customHeight="1" x14ac:dyDescent="0.25">
      <c r="A377" s="47"/>
      <c r="B377" s="8"/>
      <c r="C377" s="8"/>
      <c r="D377" s="8"/>
      <c r="G377" s="8"/>
    </row>
    <row r="378" spans="1:7" s="9" customFormat="1" ht="15" customHeight="1" x14ac:dyDescent="0.25">
      <c r="A378" s="47"/>
      <c r="B378" s="8"/>
      <c r="C378" s="8"/>
      <c r="D378" s="8"/>
      <c r="G378" s="8"/>
    </row>
    <row r="379" spans="1:7" s="9" customFormat="1" ht="15" customHeight="1" x14ac:dyDescent="0.25">
      <c r="A379" s="47"/>
      <c r="B379" s="8"/>
      <c r="C379" s="8"/>
      <c r="D379" s="8"/>
      <c r="G379" s="8"/>
    </row>
    <row r="380" spans="1:7" s="9" customFormat="1" ht="15" customHeight="1" x14ac:dyDescent="0.25">
      <c r="A380" s="47"/>
      <c r="B380" s="8"/>
      <c r="C380" s="8"/>
      <c r="D380" s="8"/>
      <c r="G380" s="8"/>
    </row>
    <row r="381" spans="1:7" s="9" customFormat="1" ht="15" customHeight="1" x14ac:dyDescent="0.25">
      <c r="A381" s="47"/>
      <c r="B381" s="8"/>
      <c r="C381" s="8"/>
      <c r="D381" s="8"/>
      <c r="G381" s="8"/>
    </row>
    <row r="382" spans="1:7" s="9" customFormat="1" ht="15" customHeight="1" x14ac:dyDescent="0.25">
      <c r="A382" s="47"/>
      <c r="B382" s="8"/>
      <c r="C382" s="8"/>
      <c r="D382" s="8"/>
      <c r="G382" s="8"/>
    </row>
    <row r="383" spans="1:7" s="9" customFormat="1" ht="15" customHeight="1" x14ac:dyDescent="0.25">
      <c r="A383" s="47"/>
      <c r="B383" s="8"/>
      <c r="C383" s="8"/>
      <c r="D383" s="8"/>
      <c r="G383" s="8"/>
    </row>
    <row r="384" spans="1:7" s="9" customFormat="1" ht="15" customHeight="1" x14ac:dyDescent="0.25">
      <c r="A384" s="47"/>
      <c r="B384" s="8"/>
      <c r="C384" s="8"/>
      <c r="D384" s="8"/>
      <c r="G384" s="8"/>
    </row>
    <row r="385" spans="1:7" s="9" customFormat="1" ht="15" customHeight="1" x14ac:dyDescent="0.25">
      <c r="A385" s="47"/>
      <c r="B385" s="8"/>
      <c r="C385" s="8"/>
      <c r="D385" s="8"/>
      <c r="G385" s="8"/>
    </row>
    <row r="386" spans="1:7" s="9" customFormat="1" ht="15" customHeight="1" x14ac:dyDescent="0.25">
      <c r="A386" s="47"/>
      <c r="B386" s="8"/>
      <c r="C386" s="8"/>
      <c r="D386" s="8"/>
      <c r="G386" s="8"/>
    </row>
    <row r="387" spans="1:7" s="9" customFormat="1" ht="15" customHeight="1" x14ac:dyDescent="0.25">
      <c r="A387" s="47"/>
      <c r="B387" s="8"/>
      <c r="C387" s="8"/>
      <c r="D387" s="8"/>
      <c r="G387" s="8"/>
    </row>
    <row r="388" spans="1:7" s="9" customFormat="1" ht="15" customHeight="1" x14ac:dyDescent="0.25">
      <c r="A388" s="47"/>
      <c r="B388" s="8"/>
      <c r="C388" s="8"/>
      <c r="D388" s="8"/>
      <c r="G388" s="8"/>
    </row>
    <row r="389" spans="1:7" s="9" customFormat="1" ht="15" customHeight="1" x14ac:dyDescent="0.25">
      <c r="A389" s="47"/>
      <c r="B389" s="8"/>
      <c r="C389" s="8"/>
      <c r="D389" s="8"/>
      <c r="G389" s="8"/>
    </row>
    <row r="390" spans="1:7" s="9" customFormat="1" ht="15" customHeight="1" x14ac:dyDescent="0.25">
      <c r="A390" s="47"/>
      <c r="B390" s="8"/>
      <c r="C390" s="8"/>
      <c r="D390" s="8"/>
      <c r="G390" s="8"/>
    </row>
    <row r="391" spans="1:7" s="9" customFormat="1" ht="15" customHeight="1" x14ac:dyDescent="0.25">
      <c r="A391" s="47"/>
      <c r="B391" s="8"/>
      <c r="C391" s="8"/>
      <c r="D391" s="8"/>
      <c r="G391" s="8"/>
    </row>
    <row r="392" spans="1:7" s="9" customFormat="1" ht="15" customHeight="1" x14ac:dyDescent="0.25">
      <c r="A392" s="47"/>
      <c r="B392" s="8"/>
      <c r="C392" s="8"/>
      <c r="D392" s="8"/>
      <c r="G392" s="8"/>
    </row>
    <row r="393" spans="1:7" s="9" customFormat="1" ht="15" customHeight="1" x14ac:dyDescent="0.25">
      <c r="A393" s="47"/>
      <c r="B393" s="8"/>
      <c r="C393" s="8"/>
      <c r="D393" s="8"/>
      <c r="G393" s="8"/>
    </row>
    <row r="394" spans="1:7" s="9" customFormat="1" ht="15" customHeight="1" x14ac:dyDescent="0.25">
      <c r="A394" s="47"/>
      <c r="B394" s="8"/>
      <c r="C394" s="8"/>
      <c r="D394" s="8"/>
      <c r="G394" s="8"/>
    </row>
    <row r="395" spans="1:7" s="9" customFormat="1" ht="15" customHeight="1" x14ac:dyDescent="0.25">
      <c r="A395" s="47"/>
      <c r="B395" s="8"/>
      <c r="C395" s="8"/>
      <c r="D395" s="8"/>
      <c r="G395" s="8"/>
    </row>
    <row r="396" spans="1:7" s="9" customFormat="1" ht="15" customHeight="1" x14ac:dyDescent="0.25">
      <c r="A396" s="47"/>
      <c r="B396" s="8"/>
      <c r="C396" s="8"/>
      <c r="D396" s="8"/>
      <c r="G396" s="8"/>
    </row>
    <row r="397" spans="1:7" s="9" customFormat="1" ht="15" customHeight="1" x14ac:dyDescent="0.25">
      <c r="A397" s="47"/>
      <c r="B397" s="8"/>
      <c r="C397" s="8"/>
      <c r="D397" s="8"/>
      <c r="G397" s="8"/>
    </row>
    <row r="398" spans="1:7" s="9" customFormat="1" ht="15" customHeight="1" x14ac:dyDescent="0.25">
      <c r="A398" s="47"/>
      <c r="B398" s="8"/>
      <c r="C398" s="8"/>
      <c r="D398" s="8"/>
      <c r="G398" s="8"/>
    </row>
    <row r="399" spans="1:7" s="9" customFormat="1" ht="15" customHeight="1" x14ac:dyDescent="0.25">
      <c r="A399" s="47"/>
      <c r="B399" s="8"/>
      <c r="C399" s="8"/>
      <c r="D399" s="8"/>
      <c r="G399" s="8"/>
    </row>
    <row r="400" spans="1:7" s="9" customFormat="1" ht="15" customHeight="1" x14ac:dyDescent="0.25">
      <c r="A400" s="47"/>
      <c r="B400" s="8"/>
      <c r="C400" s="8"/>
      <c r="D400" s="8"/>
      <c r="G400" s="8"/>
    </row>
    <row r="401" spans="1:7" s="9" customFormat="1" ht="15" customHeight="1" x14ac:dyDescent="0.25">
      <c r="A401" s="47"/>
      <c r="B401" s="8"/>
      <c r="C401" s="8"/>
      <c r="D401" s="8"/>
      <c r="G401" s="8"/>
    </row>
    <row r="402" spans="1:7" s="9" customFormat="1" ht="15" customHeight="1" x14ac:dyDescent="0.25">
      <c r="A402" s="47"/>
      <c r="B402" s="8"/>
      <c r="C402" s="8"/>
      <c r="D402" s="8"/>
      <c r="G402" s="8"/>
    </row>
    <row r="403" spans="1:7" s="9" customFormat="1" ht="15" customHeight="1" x14ac:dyDescent="0.25">
      <c r="A403" s="47"/>
      <c r="B403" s="8"/>
      <c r="C403" s="8"/>
      <c r="D403" s="8"/>
      <c r="G403" s="8"/>
    </row>
    <row r="404" spans="1:7" s="9" customFormat="1" ht="15" customHeight="1" x14ac:dyDescent="0.25">
      <c r="A404" s="47"/>
      <c r="B404" s="8"/>
      <c r="C404" s="8"/>
      <c r="D404" s="8"/>
      <c r="G404" s="8"/>
    </row>
    <row r="405" spans="1:7" s="9" customFormat="1" ht="15" customHeight="1" x14ac:dyDescent="0.25">
      <c r="A405" s="47"/>
      <c r="B405" s="8"/>
      <c r="C405" s="8"/>
      <c r="D405" s="8"/>
      <c r="G405" s="8"/>
    </row>
    <row r="406" spans="1:7" s="9" customFormat="1" ht="15" customHeight="1" x14ac:dyDescent="0.25">
      <c r="A406" s="47"/>
      <c r="B406" s="8"/>
      <c r="C406" s="8"/>
      <c r="D406" s="8"/>
      <c r="G406" s="8"/>
    </row>
    <row r="407" spans="1:7" s="9" customFormat="1" ht="15" customHeight="1" x14ac:dyDescent="0.25">
      <c r="A407" s="47"/>
      <c r="B407" s="8"/>
      <c r="C407" s="8"/>
      <c r="D407" s="8"/>
      <c r="G407" s="8"/>
    </row>
    <row r="408" spans="1:7" s="9" customFormat="1" ht="15" customHeight="1" x14ac:dyDescent="0.25">
      <c r="A408" s="47"/>
      <c r="B408" s="8"/>
      <c r="C408" s="8"/>
      <c r="D408" s="8"/>
      <c r="G408" s="8"/>
    </row>
    <row r="409" spans="1:7" s="9" customFormat="1" ht="15" customHeight="1" x14ac:dyDescent="0.25">
      <c r="A409" s="47"/>
      <c r="B409" s="8"/>
      <c r="C409" s="8"/>
      <c r="D409" s="8"/>
      <c r="G409" s="8"/>
    </row>
    <row r="410" spans="1:7" s="9" customFormat="1" ht="15" customHeight="1" x14ac:dyDescent="0.25">
      <c r="A410" s="47"/>
      <c r="B410" s="8"/>
      <c r="C410" s="8"/>
      <c r="D410" s="8"/>
      <c r="G410" s="8"/>
    </row>
    <row r="411" spans="1:7" s="9" customFormat="1" ht="15" customHeight="1" x14ac:dyDescent="0.25">
      <c r="A411" s="47"/>
      <c r="B411" s="8"/>
      <c r="C411" s="8"/>
      <c r="D411" s="8"/>
      <c r="G411" s="8"/>
    </row>
    <row r="412" spans="1:7" s="9" customFormat="1" ht="15" customHeight="1" x14ac:dyDescent="0.25">
      <c r="A412" s="47"/>
      <c r="B412" s="8"/>
      <c r="C412" s="8"/>
      <c r="D412" s="8"/>
      <c r="G412" s="8"/>
    </row>
    <row r="413" spans="1:7" s="9" customFormat="1" ht="15" customHeight="1" x14ac:dyDescent="0.25">
      <c r="A413" s="47"/>
      <c r="B413" s="8"/>
      <c r="C413" s="8"/>
      <c r="D413" s="8"/>
      <c r="G413" s="8"/>
    </row>
    <row r="414" spans="1:7" s="9" customFormat="1" ht="15" customHeight="1" x14ac:dyDescent="0.25">
      <c r="A414" s="47"/>
      <c r="B414" s="8"/>
      <c r="C414" s="8"/>
      <c r="D414" s="8"/>
      <c r="G414" s="8"/>
    </row>
    <row r="415" spans="1:7" s="9" customFormat="1" ht="15" customHeight="1" x14ac:dyDescent="0.25">
      <c r="A415" s="47"/>
      <c r="B415" s="8"/>
      <c r="C415" s="8"/>
      <c r="D415" s="8"/>
      <c r="G415" s="8"/>
    </row>
    <row r="416" spans="1:7" s="9" customFormat="1" ht="15" customHeight="1" x14ac:dyDescent="0.25">
      <c r="A416" s="47"/>
      <c r="B416" s="8"/>
      <c r="C416" s="8"/>
      <c r="D416" s="8"/>
      <c r="G416" s="8"/>
    </row>
    <row r="417" spans="1:7" s="9" customFormat="1" ht="15" customHeight="1" x14ac:dyDescent="0.25">
      <c r="A417" s="47"/>
      <c r="B417" s="8"/>
      <c r="C417" s="8"/>
      <c r="D417" s="8"/>
      <c r="G417" s="8"/>
    </row>
    <row r="418" spans="1:7" s="9" customFormat="1" ht="15" customHeight="1" x14ac:dyDescent="0.25">
      <c r="A418" s="47"/>
      <c r="B418" s="8"/>
      <c r="C418" s="8"/>
      <c r="D418" s="8"/>
      <c r="G418" s="8"/>
    </row>
    <row r="419" spans="1:7" s="9" customFormat="1" ht="15" customHeight="1" x14ac:dyDescent="0.25">
      <c r="A419" s="47"/>
      <c r="B419" s="8"/>
      <c r="C419" s="8"/>
      <c r="D419" s="8"/>
      <c r="G419" s="8"/>
    </row>
    <row r="420" spans="1:7" s="9" customFormat="1" ht="15" customHeight="1" x14ac:dyDescent="0.25">
      <c r="A420" s="47"/>
      <c r="B420" s="8"/>
      <c r="C420" s="8"/>
      <c r="D420" s="8"/>
      <c r="G420" s="8"/>
    </row>
    <row r="421" spans="1:7" s="9" customFormat="1" ht="15" customHeight="1" x14ac:dyDescent="0.25">
      <c r="A421" s="47"/>
      <c r="B421" s="8"/>
      <c r="C421" s="8"/>
      <c r="D421" s="8"/>
      <c r="G421" s="8"/>
    </row>
    <row r="422" spans="1:7" s="9" customFormat="1" ht="15" customHeight="1" x14ac:dyDescent="0.25">
      <c r="A422" s="47"/>
      <c r="B422" s="8"/>
      <c r="C422" s="8"/>
      <c r="D422" s="8"/>
      <c r="G422" s="8"/>
    </row>
    <row r="423" spans="1:7" s="9" customFormat="1" ht="15" customHeight="1" x14ac:dyDescent="0.25">
      <c r="A423" s="47"/>
      <c r="B423" s="8"/>
      <c r="C423" s="8"/>
      <c r="D423" s="8"/>
      <c r="G423" s="8"/>
    </row>
    <row r="424" spans="1:7" s="9" customFormat="1" ht="15" customHeight="1" x14ac:dyDescent="0.25">
      <c r="A424" s="47"/>
      <c r="B424" s="8"/>
      <c r="C424" s="8"/>
      <c r="D424" s="8"/>
      <c r="G424" s="8"/>
    </row>
    <row r="425" spans="1:7" s="9" customFormat="1" ht="15" customHeight="1" x14ac:dyDescent="0.25">
      <c r="A425" s="47"/>
      <c r="B425" s="8"/>
      <c r="C425" s="8"/>
      <c r="D425" s="8"/>
      <c r="G425" s="8"/>
    </row>
    <row r="426" spans="1:7" s="9" customFormat="1" ht="15" customHeight="1" x14ac:dyDescent="0.25">
      <c r="A426" s="47"/>
      <c r="B426" s="8"/>
      <c r="C426" s="8"/>
      <c r="D426" s="8"/>
      <c r="G426" s="8"/>
    </row>
    <row r="427" spans="1:7" s="9" customFormat="1" ht="15" customHeight="1" x14ac:dyDescent="0.25">
      <c r="A427" s="47"/>
      <c r="B427" s="8"/>
      <c r="C427" s="8"/>
      <c r="D427" s="8"/>
      <c r="G427" s="8"/>
    </row>
    <row r="428" spans="1:7" s="9" customFormat="1" ht="15" customHeight="1" x14ac:dyDescent="0.25">
      <c r="A428" s="47"/>
      <c r="B428" s="8"/>
      <c r="C428" s="8"/>
      <c r="D428" s="8"/>
      <c r="G428" s="8"/>
    </row>
    <row r="429" spans="1:7" s="9" customFormat="1" ht="15" customHeight="1" x14ac:dyDescent="0.25">
      <c r="A429" s="47"/>
      <c r="B429" s="8"/>
      <c r="C429" s="8"/>
      <c r="D429" s="8"/>
      <c r="G429" s="8"/>
    </row>
    <row r="430" spans="1:7" s="9" customFormat="1" ht="15" customHeight="1" x14ac:dyDescent="0.25">
      <c r="A430" s="47"/>
      <c r="B430" s="8"/>
      <c r="C430" s="8"/>
      <c r="D430" s="8"/>
      <c r="G430" s="8"/>
    </row>
    <row r="431" spans="1:7" s="9" customFormat="1" ht="15" customHeight="1" x14ac:dyDescent="0.25">
      <c r="A431" s="47"/>
      <c r="B431" s="8"/>
      <c r="C431" s="8"/>
      <c r="D431" s="8"/>
      <c r="G431" s="8"/>
    </row>
    <row r="432" spans="1:7" s="9" customFormat="1" ht="15" customHeight="1" x14ac:dyDescent="0.25">
      <c r="A432" s="47"/>
      <c r="B432" s="8"/>
      <c r="C432" s="8"/>
      <c r="D432" s="8"/>
      <c r="G432" s="8"/>
    </row>
    <row r="433" spans="1:7" s="9" customFormat="1" ht="15" customHeight="1" x14ac:dyDescent="0.25">
      <c r="A433" s="47"/>
      <c r="B433" s="8"/>
      <c r="C433" s="8"/>
      <c r="D433" s="8"/>
      <c r="G433" s="8"/>
    </row>
    <row r="434" spans="1:7" s="9" customFormat="1" ht="15" customHeight="1" x14ac:dyDescent="0.25">
      <c r="A434" s="47"/>
      <c r="B434" s="8"/>
      <c r="C434" s="8"/>
      <c r="D434" s="8"/>
      <c r="G434" s="8"/>
    </row>
    <row r="435" spans="1:7" s="9" customFormat="1" ht="15" customHeight="1" x14ac:dyDescent="0.25">
      <c r="A435" s="47"/>
      <c r="B435" s="8"/>
      <c r="C435" s="8"/>
      <c r="D435" s="8"/>
      <c r="G435" s="8"/>
    </row>
    <row r="436" spans="1:7" s="9" customFormat="1" ht="15" customHeight="1" x14ac:dyDescent="0.25">
      <c r="A436" s="47"/>
      <c r="B436" s="8"/>
      <c r="C436" s="8"/>
      <c r="D436" s="8"/>
      <c r="G436" s="8"/>
    </row>
    <row r="437" spans="1:7" s="9" customFormat="1" ht="15" customHeight="1" x14ac:dyDescent="0.25">
      <c r="A437" s="47"/>
      <c r="B437" s="8"/>
      <c r="C437" s="8"/>
      <c r="D437" s="8"/>
      <c r="G437" s="8"/>
    </row>
    <row r="438" spans="1:7" s="9" customFormat="1" ht="15" customHeight="1" x14ac:dyDescent="0.25">
      <c r="A438" s="47"/>
      <c r="B438" s="8"/>
      <c r="C438" s="8"/>
      <c r="D438" s="8"/>
      <c r="G438" s="8"/>
    </row>
    <row r="439" spans="1:7" s="9" customFormat="1" ht="15" customHeight="1" x14ac:dyDescent="0.25">
      <c r="A439" s="47"/>
      <c r="B439" s="8"/>
      <c r="C439" s="8"/>
      <c r="D439" s="8"/>
      <c r="G439" s="8"/>
    </row>
    <row r="440" spans="1:7" s="9" customFormat="1" ht="15" customHeight="1" x14ac:dyDescent="0.25">
      <c r="A440" s="47"/>
      <c r="B440" s="8"/>
      <c r="C440" s="8"/>
      <c r="D440" s="8"/>
      <c r="G440" s="8"/>
    </row>
    <row r="441" spans="1:7" s="9" customFormat="1" ht="15" customHeight="1" x14ac:dyDescent="0.25">
      <c r="A441" s="47"/>
      <c r="B441" s="8"/>
      <c r="C441" s="8"/>
      <c r="D441" s="8"/>
      <c r="G441" s="8"/>
    </row>
    <row r="442" spans="1:7" s="9" customFormat="1" ht="15" customHeight="1" x14ac:dyDescent="0.25">
      <c r="A442" s="47"/>
      <c r="B442" s="8"/>
      <c r="C442" s="8"/>
      <c r="D442" s="8"/>
      <c r="G442" s="8"/>
    </row>
    <row r="443" spans="1:7" s="9" customFormat="1" ht="15" customHeight="1" x14ac:dyDescent="0.25">
      <c r="A443" s="47"/>
      <c r="B443" s="8"/>
      <c r="C443" s="8"/>
      <c r="D443" s="8"/>
      <c r="G443" s="8"/>
    </row>
    <row r="444" spans="1:7" s="9" customFormat="1" ht="15" customHeight="1" x14ac:dyDescent="0.25">
      <c r="A444" s="47"/>
      <c r="B444" s="8"/>
      <c r="C444" s="8"/>
      <c r="D444" s="8"/>
      <c r="G444" s="8"/>
    </row>
    <row r="445" spans="1:7" s="9" customFormat="1" ht="15" customHeight="1" x14ac:dyDescent="0.25">
      <c r="A445" s="47"/>
      <c r="B445" s="8"/>
      <c r="C445" s="8"/>
      <c r="D445" s="8"/>
      <c r="G445" s="8"/>
    </row>
    <row r="446" spans="1:7" s="9" customFormat="1" ht="15" customHeight="1" x14ac:dyDescent="0.25">
      <c r="A446" s="47"/>
      <c r="B446" s="8"/>
      <c r="C446" s="8"/>
      <c r="D446" s="8"/>
      <c r="G446" s="8"/>
    </row>
    <row r="447" spans="1:7" s="9" customFormat="1" ht="15" customHeight="1" x14ac:dyDescent="0.25">
      <c r="A447" s="47"/>
      <c r="B447" s="8"/>
      <c r="C447" s="8"/>
      <c r="D447" s="8"/>
      <c r="G447" s="8"/>
    </row>
    <row r="448" spans="1:7" s="9" customFormat="1" ht="15" customHeight="1" x14ac:dyDescent="0.25">
      <c r="A448" s="47"/>
      <c r="B448" s="8"/>
      <c r="C448" s="8"/>
      <c r="D448" s="8"/>
      <c r="G448" s="8"/>
    </row>
    <row r="449" spans="1:7" s="9" customFormat="1" ht="15" customHeight="1" x14ac:dyDescent="0.25">
      <c r="A449" s="47"/>
      <c r="B449" s="8"/>
      <c r="C449" s="8"/>
      <c r="D449" s="8"/>
      <c r="G449" s="8"/>
    </row>
    <row r="450" spans="1:7" s="9" customFormat="1" ht="15" customHeight="1" x14ac:dyDescent="0.25">
      <c r="A450" s="47"/>
      <c r="B450" s="8"/>
      <c r="C450" s="8"/>
      <c r="D450" s="8"/>
      <c r="G450" s="8"/>
    </row>
    <row r="451" spans="1:7" s="9" customFormat="1" ht="15" customHeight="1" x14ac:dyDescent="0.25">
      <c r="A451" s="47"/>
      <c r="B451" s="8"/>
      <c r="C451" s="8"/>
      <c r="D451" s="8"/>
      <c r="G451" s="8"/>
    </row>
    <row r="452" spans="1:7" s="9" customFormat="1" ht="15" customHeight="1" x14ac:dyDescent="0.25">
      <c r="A452" s="47"/>
      <c r="B452" s="8"/>
      <c r="C452" s="8"/>
      <c r="D452" s="8"/>
      <c r="G452" s="8"/>
    </row>
    <row r="453" spans="1:7" s="9" customFormat="1" ht="15" customHeight="1" x14ac:dyDescent="0.25">
      <c r="A453" s="47"/>
      <c r="B453" s="8"/>
      <c r="C453" s="8"/>
      <c r="D453" s="8"/>
      <c r="G453" s="8"/>
    </row>
    <row r="454" spans="1:7" s="9" customFormat="1" ht="15" customHeight="1" x14ac:dyDescent="0.25">
      <c r="A454" s="47"/>
      <c r="B454" s="8"/>
      <c r="C454" s="8"/>
      <c r="D454" s="8"/>
      <c r="G454" s="8"/>
    </row>
    <row r="455" spans="1:7" s="9" customFormat="1" ht="15" customHeight="1" x14ac:dyDescent="0.25">
      <c r="A455" s="47"/>
      <c r="B455" s="8"/>
      <c r="C455" s="8"/>
      <c r="D455" s="8"/>
      <c r="G455" s="8"/>
    </row>
    <row r="456" spans="1:7" s="9" customFormat="1" ht="15" customHeight="1" x14ac:dyDescent="0.25">
      <c r="A456" s="47"/>
      <c r="B456" s="8"/>
      <c r="C456" s="8"/>
      <c r="D456" s="8"/>
      <c r="G456" s="8"/>
    </row>
    <row r="457" spans="1:7" s="9" customFormat="1" ht="15" customHeight="1" x14ac:dyDescent="0.25">
      <c r="A457" s="47"/>
      <c r="B457" s="8"/>
      <c r="C457" s="8"/>
      <c r="D457" s="8"/>
      <c r="G457" s="8"/>
    </row>
    <row r="458" spans="1:7" s="9" customFormat="1" ht="15" customHeight="1" x14ac:dyDescent="0.25">
      <c r="A458" s="47"/>
      <c r="B458" s="8"/>
      <c r="C458" s="8"/>
      <c r="D458" s="8"/>
      <c r="G458" s="8"/>
    </row>
    <row r="459" spans="1:7" s="9" customFormat="1" ht="15" customHeight="1" x14ac:dyDescent="0.25">
      <c r="A459" s="47"/>
      <c r="B459" s="8"/>
      <c r="C459" s="8"/>
      <c r="D459" s="8"/>
      <c r="G459" s="8"/>
    </row>
    <row r="460" spans="1:7" s="9" customFormat="1" ht="15" customHeight="1" x14ac:dyDescent="0.25">
      <c r="A460" s="47"/>
      <c r="B460" s="8"/>
      <c r="C460" s="8"/>
      <c r="D460" s="8"/>
      <c r="G460" s="8"/>
    </row>
    <row r="461" spans="1:7" s="9" customFormat="1" ht="15" customHeight="1" x14ac:dyDescent="0.25">
      <c r="A461" s="47"/>
      <c r="B461" s="8"/>
      <c r="C461" s="8"/>
      <c r="D461" s="8"/>
      <c r="G461" s="8"/>
    </row>
    <row r="462" spans="1:7" s="9" customFormat="1" ht="15" customHeight="1" x14ac:dyDescent="0.25">
      <c r="A462" s="47"/>
      <c r="B462" s="8"/>
      <c r="C462" s="8"/>
      <c r="D462" s="8"/>
      <c r="G462" s="8"/>
    </row>
    <row r="463" spans="1:7" s="9" customFormat="1" ht="15" customHeight="1" x14ac:dyDescent="0.25">
      <c r="A463" s="47"/>
      <c r="B463" s="8"/>
      <c r="C463" s="8"/>
      <c r="D463" s="8"/>
      <c r="G463" s="8"/>
    </row>
    <row r="464" spans="1:7" s="9" customFormat="1" ht="15" customHeight="1" x14ac:dyDescent="0.25">
      <c r="A464" s="47"/>
      <c r="B464" s="8"/>
      <c r="C464" s="8"/>
      <c r="D464" s="8"/>
      <c r="G464" s="8"/>
    </row>
    <row r="465" spans="1:7" s="9" customFormat="1" ht="15" customHeight="1" x14ac:dyDescent="0.25">
      <c r="A465" s="47"/>
      <c r="B465" s="8"/>
      <c r="C465" s="8"/>
      <c r="D465" s="8"/>
      <c r="G465" s="8"/>
    </row>
    <row r="466" spans="1:7" s="9" customFormat="1" ht="15" customHeight="1" x14ac:dyDescent="0.25">
      <c r="A466" s="47"/>
      <c r="B466" s="8"/>
      <c r="C466" s="8"/>
      <c r="D466" s="8"/>
      <c r="G466" s="8"/>
    </row>
    <row r="467" spans="1:7" s="9" customFormat="1" ht="15" customHeight="1" x14ac:dyDescent="0.25">
      <c r="A467" s="47"/>
      <c r="B467" s="8"/>
      <c r="C467" s="8"/>
      <c r="D467" s="8"/>
      <c r="G467" s="8"/>
    </row>
    <row r="468" spans="1:7" s="9" customFormat="1" ht="15" customHeight="1" x14ac:dyDescent="0.25">
      <c r="A468" s="47"/>
      <c r="B468" s="8"/>
      <c r="C468" s="8"/>
      <c r="D468" s="8"/>
      <c r="G468" s="8"/>
    </row>
    <row r="469" spans="1:7" s="9" customFormat="1" ht="15" customHeight="1" x14ac:dyDescent="0.25">
      <c r="A469" s="47"/>
      <c r="B469" s="8"/>
      <c r="C469" s="8"/>
      <c r="D469" s="8"/>
      <c r="G469" s="8"/>
    </row>
    <row r="470" spans="1:7" s="9" customFormat="1" ht="15" customHeight="1" x14ac:dyDescent="0.25">
      <c r="A470" s="47"/>
      <c r="B470" s="8"/>
      <c r="C470" s="8"/>
      <c r="D470" s="8"/>
      <c r="G470" s="8"/>
    </row>
    <row r="471" spans="1:7" s="9" customFormat="1" ht="15" customHeight="1" x14ac:dyDescent="0.25">
      <c r="A471" s="47"/>
      <c r="B471" s="8"/>
      <c r="C471" s="8"/>
      <c r="D471" s="8"/>
      <c r="G471" s="8"/>
    </row>
    <row r="472" spans="1:7" s="9" customFormat="1" ht="15" customHeight="1" x14ac:dyDescent="0.25">
      <c r="A472" s="47"/>
      <c r="B472" s="8"/>
      <c r="C472" s="8"/>
      <c r="D472" s="8"/>
      <c r="G472" s="8"/>
    </row>
    <row r="473" spans="1:7" s="9" customFormat="1" ht="15" customHeight="1" x14ac:dyDescent="0.25">
      <c r="A473" s="47"/>
      <c r="B473" s="8"/>
      <c r="C473" s="8"/>
      <c r="D473" s="8"/>
      <c r="G473" s="8"/>
    </row>
    <row r="474" spans="1:7" s="9" customFormat="1" ht="15" customHeight="1" x14ac:dyDescent="0.25">
      <c r="A474" s="47"/>
      <c r="B474" s="8"/>
      <c r="C474" s="8"/>
      <c r="D474" s="8"/>
      <c r="G474" s="8"/>
    </row>
    <row r="475" spans="1:7" s="9" customFormat="1" ht="15" customHeight="1" x14ac:dyDescent="0.25">
      <c r="A475" s="47"/>
      <c r="B475" s="8"/>
      <c r="C475" s="8"/>
      <c r="D475" s="8"/>
      <c r="G475" s="8"/>
    </row>
    <row r="476" spans="1:7" s="9" customFormat="1" ht="15" customHeight="1" x14ac:dyDescent="0.25">
      <c r="A476" s="47"/>
      <c r="B476" s="8"/>
      <c r="C476" s="8"/>
      <c r="D476" s="8"/>
      <c r="G476" s="8"/>
    </row>
    <row r="477" spans="1:7" s="9" customFormat="1" ht="15" customHeight="1" x14ac:dyDescent="0.25">
      <c r="A477" s="47"/>
      <c r="B477" s="8"/>
      <c r="C477" s="8"/>
      <c r="D477" s="8"/>
      <c r="G477" s="8"/>
    </row>
    <row r="478" spans="1:7" s="9" customFormat="1" ht="15" customHeight="1" x14ac:dyDescent="0.25">
      <c r="A478" s="47"/>
      <c r="B478" s="8"/>
      <c r="C478" s="8"/>
      <c r="D478" s="8"/>
      <c r="G478" s="8"/>
    </row>
    <row r="479" spans="1:7" s="9" customFormat="1" ht="15" customHeight="1" x14ac:dyDescent="0.25">
      <c r="A479" s="47"/>
      <c r="B479" s="8"/>
      <c r="C479" s="8"/>
      <c r="D479" s="8"/>
      <c r="G479" s="8"/>
    </row>
    <row r="480" spans="1:7" s="9" customFormat="1" ht="15" customHeight="1" x14ac:dyDescent="0.25">
      <c r="A480" s="47"/>
      <c r="B480" s="8"/>
      <c r="C480" s="8"/>
      <c r="D480" s="8"/>
      <c r="G480" s="8"/>
    </row>
    <row r="481" spans="1:7" s="9" customFormat="1" ht="15" customHeight="1" x14ac:dyDescent="0.25">
      <c r="A481" s="47"/>
      <c r="B481" s="8"/>
      <c r="C481" s="8"/>
      <c r="D481" s="8"/>
      <c r="G481" s="8"/>
    </row>
    <row r="482" spans="1:7" s="9" customFormat="1" ht="15" customHeight="1" x14ac:dyDescent="0.25">
      <c r="A482" s="47"/>
      <c r="B482" s="8"/>
      <c r="C482" s="8"/>
      <c r="D482" s="8"/>
      <c r="G482" s="8"/>
    </row>
    <row r="483" spans="1:7" s="9" customFormat="1" ht="15" customHeight="1" x14ac:dyDescent="0.25">
      <c r="A483" s="47"/>
      <c r="B483" s="8"/>
      <c r="C483" s="8"/>
      <c r="D483" s="8"/>
      <c r="G483" s="8"/>
    </row>
    <row r="484" spans="1:7" s="9" customFormat="1" ht="15" customHeight="1" x14ac:dyDescent="0.25">
      <c r="A484" s="47"/>
      <c r="B484" s="8"/>
      <c r="C484" s="8"/>
      <c r="D484" s="8"/>
      <c r="G484" s="8"/>
    </row>
    <row r="485" spans="1:7" s="9" customFormat="1" ht="15" customHeight="1" x14ac:dyDescent="0.25">
      <c r="A485" s="47"/>
      <c r="B485" s="8"/>
      <c r="C485" s="8"/>
      <c r="D485" s="8"/>
      <c r="G485" s="8"/>
    </row>
    <row r="486" spans="1:7" s="9" customFormat="1" ht="15" customHeight="1" x14ac:dyDescent="0.25">
      <c r="A486" s="47"/>
      <c r="B486" s="8"/>
      <c r="C486" s="8"/>
      <c r="D486" s="8"/>
      <c r="G486" s="8"/>
    </row>
    <row r="487" spans="1:7" s="9" customFormat="1" ht="15" customHeight="1" x14ac:dyDescent="0.25">
      <c r="A487" s="47"/>
      <c r="B487" s="8"/>
      <c r="C487" s="8"/>
      <c r="D487" s="8"/>
      <c r="G487" s="8"/>
    </row>
    <row r="488" spans="1:7" s="9" customFormat="1" ht="15" customHeight="1" x14ac:dyDescent="0.25">
      <c r="A488" s="47"/>
      <c r="B488" s="8"/>
      <c r="C488" s="8"/>
      <c r="D488" s="8"/>
      <c r="G488" s="8"/>
    </row>
    <row r="489" spans="1:7" s="9" customFormat="1" ht="15" customHeight="1" x14ac:dyDescent="0.25">
      <c r="A489" s="47"/>
      <c r="B489" s="8"/>
      <c r="C489" s="8"/>
      <c r="D489" s="8"/>
      <c r="G489" s="8"/>
    </row>
    <row r="490" spans="1:7" s="9" customFormat="1" ht="15" customHeight="1" x14ac:dyDescent="0.25">
      <c r="A490" s="47"/>
      <c r="B490" s="8"/>
      <c r="C490" s="8"/>
      <c r="D490" s="8"/>
      <c r="G490" s="8"/>
    </row>
    <row r="491" spans="1:7" s="9" customFormat="1" ht="15" customHeight="1" x14ac:dyDescent="0.25">
      <c r="A491" s="47"/>
      <c r="B491" s="8"/>
      <c r="C491" s="8"/>
      <c r="D491" s="8"/>
      <c r="G491" s="8"/>
    </row>
    <row r="492" spans="1:7" s="9" customFormat="1" ht="15" customHeight="1" x14ac:dyDescent="0.25">
      <c r="A492" s="47"/>
      <c r="B492" s="8"/>
      <c r="C492" s="8"/>
      <c r="D492" s="8"/>
      <c r="G492" s="8"/>
    </row>
    <row r="493" spans="1:7" s="9" customFormat="1" ht="15" customHeight="1" x14ac:dyDescent="0.25">
      <c r="A493" s="47"/>
      <c r="B493" s="8"/>
      <c r="C493" s="8"/>
      <c r="D493" s="8"/>
      <c r="G493" s="8"/>
    </row>
    <row r="494" spans="1:7" s="9" customFormat="1" ht="15" customHeight="1" x14ac:dyDescent="0.25">
      <c r="A494" s="47"/>
      <c r="B494" s="8"/>
      <c r="C494" s="8"/>
      <c r="D494" s="8"/>
      <c r="G494" s="8"/>
    </row>
    <row r="495" spans="1:7" s="9" customFormat="1" ht="15" customHeight="1" x14ac:dyDescent="0.25">
      <c r="A495" s="47"/>
      <c r="B495" s="8"/>
      <c r="C495" s="8"/>
      <c r="D495" s="8"/>
      <c r="G495" s="8"/>
    </row>
    <row r="496" spans="1:7" s="9" customFormat="1" ht="15" customHeight="1" x14ac:dyDescent="0.25">
      <c r="A496" s="47"/>
      <c r="B496" s="8"/>
      <c r="C496" s="8"/>
      <c r="D496" s="8"/>
      <c r="G496" s="8"/>
    </row>
    <row r="497" spans="1:7" s="9" customFormat="1" ht="15" customHeight="1" x14ac:dyDescent="0.25">
      <c r="A497" s="47"/>
      <c r="B497" s="8"/>
      <c r="C497" s="8"/>
      <c r="D497" s="8"/>
      <c r="G497" s="8"/>
    </row>
    <row r="498" spans="1:7" s="9" customFormat="1" ht="15" customHeight="1" x14ac:dyDescent="0.25">
      <c r="A498" s="47"/>
      <c r="B498" s="8"/>
      <c r="C498" s="8"/>
      <c r="D498" s="8"/>
      <c r="G498" s="8"/>
    </row>
    <row r="499" spans="1:7" s="9" customFormat="1" ht="15" customHeight="1" x14ac:dyDescent="0.25">
      <c r="A499" s="47"/>
      <c r="B499" s="8"/>
      <c r="C499" s="8"/>
      <c r="D499" s="8"/>
      <c r="G499" s="8"/>
    </row>
    <row r="500" spans="1:7" s="9" customFormat="1" ht="15" customHeight="1" x14ac:dyDescent="0.25">
      <c r="A500" s="47"/>
      <c r="B500" s="8"/>
      <c r="C500" s="8"/>
      <c r="D500" s="8"/>
      <c r="G500" s="8"/>
    </row>
    <row r="501" spans="1:7" s="9" customFormat="1" ht="15" customHeight="1" x14ac:dyDescent="0.25">
      <c r="A501" s="47"/>
      <c r="B501" s="8"/>
      <c r="C501" s="8"/>
      <c r="D501" s="8"/>
      <c r="G501" s="8"/>
    </row>
    <row r="502" spans="1:7" s="9" customFormat="1" ht="15" customHeight="1" x14ac:dyDescent="0.25">
      <c r="A502" s="47"/>
      <c r="B502" s="8"/>
      <c r="C502" s="8"/>
      <c r="D502" s="8"/>
      <c r="G502" s="8"/>
    </row>
    <row r="503" spans="1:7" s="9" customFormat="1" ht="15" customHeight="1" x14ac:dyDescent="0.25">
      <c r="A503" s="47"/>
      <c r="B503" s="8"/>
      <c r="C503" s="8"/>
      <c r="D503" s="8"/>
      <c r="G503" s="8"/>
    </row>
    <row r="504" spans="1:7" s="9" customFormat="1" ht="15" customHeight="1" x14ac:dyDescent="0.25">
      <c r="A504" s="47"/>
      <c r="B504" s="8"/>
      <c r="C504" s="8"/>
      <c r="D504" s="8"/>
      <c r="G504" s="8"/>
    </row>
    <row r="505" spans="1:7" s="9" customFormat="1" ht="15" customHeight="1" x14ac:dyDescent="0.25">
      <c r="A505" s="47"/>
      <c r="B505" s="8"/>
      <c r="C505" s="8"/>
      <c r="D505" s="8"/>
      <c r="G505" s="8"/>
    </row>
    <row r="506" spans="1:7" s="9" customFormat="1" ht="15" customHeight="1" x14ac:dyDescent="0.25">
      <c r="A506" s="47"/>
      <c r="B506" s="8"/>
      <c r="C506" s="8"/>
      <c r="D506" s="8"/>
      <c r="G506" s="8"/>
    </row>
    <row r="507" spans="1:7" s="9" customFormat="1" ht="15" customHeight="1" x14ac:dyDescent="0.25">
      <c r="A507" s="47"/>
      <c r="B507" s="8"/>
      <c r="C507" s="8"/>
      <c r="D507" s="8"/>
      <c r="G507" s="8"/>
    </row>
    <row r="508" spans="1:7" s="9" customFormat="1" ht="15" customHeight="1" x14ac:dyDescent="0.25">
      <c r="A508" s="47"/>
      <c r="B508" s="8"/>
      <c r="C508" s="8"/>
      <c r="D508" s="8"/>
      <c r="G508" s="8"/>
    </row>
    <row r="509" spans="1:7" s="9" customFormat="1" ht="15" customHeight="1" x14ac:dyDescent="0.25">
      <c r="A509" s="47"/>
      <c r="B509" s="8"/>
      <c r="C509" s="8"/>
      <c r="D509" s="8"/>
      <c r="G509" s="8"/>
    </row>
    <row r="510" spans="1:7" s="9" customFormat="1" ht="15" customHeight="1" x14ac:dyDescent="0.25">
      <c r="A510" s="47"/>
      <c r="B510" s="8"/>
      <c r="C510" s="8"/>
      <c r="D510" s="8"/>
      <c r="G510" s="8"/>
    </row>
    <row r="511" spans="1:7" s="9" customFormat="1" ht="15" customHeight="1" x14ac:dyDescent="0.25">
      <c r="A511" s="47"/>
      <c r="B511" s="8"/>
      <c r="C511" s="8"/>
      <c r="D511" s="8"/>
      <c r="G511" s="8"/>
    </row>
    <row r="512" spans="1:7" s="9" customFormat="1" ht="15" customHeight="1" x14ac:dyDescent="0.25">
      <c r="A512" s="47"/>
      <c r="B512" s="8"/>
      <c r="C512" s="8"/>
      <c r="D512" s="8"/>
      <c r="G512" s="8"/>
    </row>
    <row r="513" spans="1:7" s="9" customFormat="1" ht="15" customHeight="1" x14ac:dyDescent="0.25">
      <c r="A513" s="47"/>
      <c r="B513" s="8"/>
      <c r="C513" s="8"/>
      <c r="D513" s="8"/>
      <c r="G513" s="8"/>
    </row>
    <row r="514" spans="1:7" s="9" customFormat="1" ht="15" customHeight="1" x14ac:dyDescent="0.25">
      <c r="A514" s="47"/>
      <c r="B514" s="8"/>
      <c r="C514" s="8"/>
      <c r="D514" s="8"/>
      <c r="G514" s="8"/>
    </row>
    <row r="515" spans="1:7" s="9" customFormat="1" ht="15" customHeight="1" x14ac:dyDescent="0.25">
      <c r="A515" s="47"/>
      <c r="B515" s="8"/>
      <c r="C515" s="8"/>
      <c r="D515" s="8"/>
      <c r="G515" s="8"/>
    </row>
    <row r="516" spans="1:7" s="9" customFormat="1" ht="15" customHeight="1" x14ac:dyDescent="0.25">
      <c r="A516" s="47"/>
      <c r="B516" s="8"/>
      <c r="C516" s="8"/>
      <c r="D516" s="8"/>
      <c r="G516" s="8"/>
    </row>
    <row r="517" spans="1:7" s="9" customFormat="1" ht="15" customHeight="1" x14ac:dyDescent="0.25">
      <c r="A517" s="47"/>
      <c r="B517" s="8"/>
      <c r="C517" s="8"/>
      <c r="D517" s="8"/>
      <c r="G517" s="8"/>
    </row>
    <row r="518" spans="1:7" s="9" customFormat="1" ht="15" customHeight="1" x14ac:dyDescent="0.25">
      <c r="A518" s="47"/>
      <c r="B518" s="8"/>
      <c r="C518" s="8"/>
      <c r="D518" s="8"/>
      <c r="G518" s="8"/>
    </row>
    <row r="519" spans="1:7" s="9" customFormat="1" ht="15" customHeight="1" x14ac:dyDescent="0.25">
      <c r="A519" s="47"/>
      <c r="B519" s="8"/>
      <c r="C519" s="8"/>
      <c r="D519" s="8"/>
      <c r="G519" s="8"/>
    </row>
    <row r="520" spans="1:7" s="9" customFormat="1" ht="15" customHeight="1" x14ac:dyDescent="0.25">
      <c r="A520" s="47"/>
      <c r="B520" s="8"/>
      <c r="C520" s="8"/>
      <c r="D520" s="8"/>
      <c r="G520" s="8"/>
    </row>
    <row r="521" spans="1:7" s="9" customFormat="1" ht="15" customHeight="1" x14ac:dyDescent="0.25">
      <c r="A521" s="47"/>
      <c r="B521" s="8"/>
      <c r="C521" s="8"/>
      <c r="D521" s="8"/>
      <c r="G521" s="8"/>
    </row>
    <row r="522" spans="1:7" s="9" customFormat="1" ht="15" customHeight="1" x14ac:dyDescent="0.25">
      <c r="A522" s="47"/>
      <c r="B522" s="8"/>
      <c r="C522" s="8"/>
      <c r="D522" s="8"/>
      <c r="G522" s="8"/>
    </row>
    <row r="523" spans="1:7" s="9" customFormat="1" ht="15" customHeight="1" x14ac:dyDescent="0.25">
      <c r="A523" s="47"/>
      <c r="B523" s="8"/>
      <c r="C523" s="8"/>
      <c r="D523" s="8"/>
      <c r="G523" s="8"/>
    </row>
    <row r="524" spans="1:7" s="9" customFormat="1" ht="15" customHeight="1" x14ac:dyDescent="0.25">
      <c r="A524" s="47"/>
      <c r="B524" s="8"/>
      <c r="C524" s="8"/>
      <c r="D524" s="8"/>
      <c r="G524" s="8"/>
    </row>
    <row r="525" spans="1:7" s="9" customFormat="1" ht="15" customHeight="1" x14ac:dyDescent="0.25">
      <c r="A525" s="47"/>
      <c r="B525" s="8"/>
      <c r="C525" s="8"/>
      <c r="D525" s="8"/>
      <c r="G525" s="8"/>
    </row>
    <row r="526" spans="1:7" s="9" customFormat="1" ht="15" customHeight="1" x14ac:dyDescent="0.25">
      <c r="A526" s="47"/>
      <c r="B526" s="8"/>
      <c r="C526" s="8"/>
      <c r="D526" s="8"/>
      <c r="G526" s="8"/>
    </row>
    <row r="527" spans="1:7" s="9" customFormat="1" ht="15" customHeight="1" x14ac:dyDescent="0.25">
      <c r="A527" s="47"/>
      <c r="B527" s="8"/>
      <c r="C527" s="8"/>
      <c r="D527" s="8"/>
      <c r="G527" s="8"/>
    </row>
    <row r="528" spans="1:7" s="9" customFormat="1" ht="15" customHeight="1" x14ac:dyDescent="0.25">
      <c r="A528" s="47"/>
      <c r="B528" s="8"/>
      <c r="C528" s="8"/>
      <c r="D528" s="8"/>
      <c r="G528" s="8"/>
    </row>
    <row r="529" spans="1:7" s="9" customFormat="1" ht="15" customHeight="1" x14ac:dyDescent="0.25">
      <c r="A529" s="47"/>
      <c r="B529" s="8"/>
      <c r="C529" s="8"/>
      <c r="D529" s="8"/>
      <c r="G529" s="8"/>
    </row>
    <row r="530" spans="1:7" s="9" customFormat="1" ht="15" customHeight="1" x14ac:dyDescent="0.25">
      <c r="A530" s="47"/>
      <c r="B530" s="8"/>
      <c r="C530" s="8"/>
      <c r="D530" s="8"/>
      <c r="G530" s="8"/>
    </row>
    <row r="531" spans="1:7" s="9" customFormat="1" ht="15" customHeight="1" x14ac:dyDescent="0.25">
      <c r="A531" s="47"/>
      <c r="B531" s="8"/>
      <c r="C531" s="8"/>
      <c r="D531" s="8"/>
      <c r="G531" s="8"/>
    </row>
    <row r="532" spans="1:7" s="9" customFormat="1" ht="15" customHeight="1" x14ac:dyDescent="0.25">
      <c r="A532" s="47"/>
      <c r="B532" s="8"/>
      <c r="C532" s="8"/>
      <c r="D532" s="8"/>
      <c r="G532" s="8"/>
    </row>
    <row r="533" spans="1:7" s="9" customFormat="1" ht="15" customHeight="1" x14ac:dyDescent="0.25">
      <c r="A533" s="47"/>
      <c r="B533" s="8"/>
      <c r="C533" s="8"/>
      <c r="D533" s="8"/>
      <c r="G533" s="8"/>
    </row>
    <row r="534" spans="1:7" s="9" customFormat="1" ht="15" customHeight="1" x14ac:dyDescent="0.25">
      <c r="A534" s="47"/>
      <c r="B534" s="8"/>
      <c r="C534" s="8"/>
      <c r="D534" s="8"/>
      <c r="G534" s="8"/>
    </row>
    <row r="535" spans="1:7" s="9" customFormat="1" ht="15" customHeight="1" x14ac:dyDescent="0.25">
      <c r="A535" s="47"/>
      <c r="B535" s="8"/>
      <c r="C535" s="8"/>
      <c r="D535" s="8"/>
      <c r="G535" s="8"/>
    </row>
    <row r="536" spans="1:7" s="9" customFormat="1" ht="15" customHeight="1" x14ac:dyDescent="0.25">
      <c r="A536" s="47"/>
      <c r="B536" s="8"/>
      <c r="C536" s="8"/>
      <c r="D536" s="8"/>
      <c r="G536" s="8"/>
    </row>
    <row r="537" spans="1:7" s="9" customFormat="1" ht="15" customHeight="1" x14ac:dyDescent="0.25">
      <c r="A537" s="47"/>
      <c r="B537" s="8"/>
      <c r="C537" s="8"/>
      <c r="D537" s="8"/>
      <c r="G537" s="8"/>
    </row>
    <row r="538" spans="1:7" s="9" customFormat="1" ht="15" customHeight="1" x14ac:dyDescent="0.25">
      <c r="A538" s="47"/>
      <c r="B538" s="8"/>
      <c r="C538" s="8"/>
      <c r="D538" s="8"/>
      <c r="G538" s="8"/>
    </row>
    <row r="539" spans="1:7" s="9" customFormat="1" ht="15" customHeight="1" x14ac:dyDescent="0.25">
      <c r="A539" s="47"/>
      <c r="B539" s="8"/>
      <c r="C539" s="8"/>
      <c r="D539" s="8"/>
      <c r="G539" s="8"/>
    </row>
    <row r="540" spans="1:7" s="9" customFormat="1" ht="15" customHeight="1" x14ac:dyDescent="0.25">
      <c r="A540" s="47"/>
      <c r="B540" s="8"/>
      <c r="C540" s="8"/>
      <c r="D540" s="8"/>
      <c r="G540" s="8"/>
    </row>
    <row r="541" spans="1:7" s="9" customFormat="1" ht="15" customHeight="1" x14ac:dyDescent="0.25">
      <c r="A541" s="47"/>
      <c r="B541" s="8"/>
      <c r="C541" s="8"/>
      <c r="D541" s="8"/>
      <c r="G541" s="8"/>
    </row>
    <row r="542" spans="1:7" s="9" customFormat="1" ht="15" customHeight="1" x14ac:dyDescent="0.25">
      <c r="A542" s="47"/>
      <c r="B542" s="8"/>
      <c r="C542" s="8"/>
      <c r="D542" s="8"/>
      <c r="G542" s="8"/>
    </row>
    <row r="543" spans="1:7" s="9" customFormat="1" ht="15" customHeight="1" x14ac:dyDescent="0.25">
      <c r="A543" s="47"/>
      <c r="B543" s="8"/>
      <c r="C543" s="8"/>
      <c r="D543" s="8"/>
      <c r="G543" s="8"/>
    </row>
    <row r="544" spans="1:7" s="9" customFormat="1" ht="15" customHeight="1" x14ac:dyDescent="0.25">
      <c r="A544" s="47"/>
      <c r="B544" s="8"/>
      <c r="C544" s="8"/>
      <c r="D544" s="8"/>
      <c r="G544" s="8"/>
    </row>
    <row r="545" spans="1:7" s="9" customFormat="1" ht="15" customHeight="1" x14ac:dyDescent="0.25">
      <c r="A545" s="47"/>
      <c r="B545" s="8"/>
      <c r="C545" s="8"/>
      <c r="D545" s="8"/>
      <c r="G545" s="8"/>
    </row>
    <row r="546" spans="1:7" s="9" customFormat="1" ht="15" customHeight="1" x14ac:dyDescent="0.25">
      <c r="A546" s="47"/>
      <c r="B546" s="8"/>
      <c r="C546" s="8"/>
      <c r="D546" s="8"/>
      <c r="G546" s="8"/>
    </row>
    <row r="547" spans="1:7" s="9" customFormat="1" ht="15" customHeight="1" x14ac:dyDescent="0.25">
      <c r="A547" s="47"/>
      <c r="B547" s="8"/>
      <c r="C547" s="8"/>
      <c r="D547" s="8"/>
      <c r="G547" s="8"/>
    </row>
    <row r="548" spans="1:7" s="9" customFormat="1" ht="15" customHeight="1" x14ac:dyDescent="0.25">
      <c r="A548" s="47"/>
      <c r="B548" s="8"/>
      <c r="C548" s="8"/>
      <c r="D548" s="8"/>
      <c r="G548" s="8"/>
    </row>
    <row r="549" spans="1:7" s="9" customFormat="1" ht="15" customHeight="1" x14ac:dyDescent="0.25">
      <c r="A549" s="47"/>
      <c r="B549" s="8"/>
      <c r="C549" s="8"/>
      <c r="D549" s="8"/>
      <c r="G549" s="8"/>
    </row>
    <row r="550" spans="1:7" s="9" customFormat="1" ht="15" customHeight="1" x14ac:dyDescent="0.25">
      <c r="A550" s="47"/>
      <c r="B550" s="8"/>
      <c r="C550" s="8"/>
      <c r="D550" s="8"/>
      <c r="G550" s="8"/>
    </row>
    <row r="551" spans="1:7" s="9" customFormat="1" ht="15" customHeight="1" x14ac:dyDescent="0.25">
      <c r="A551" s="47"/>
      <c r="B551" s="8"/>
      <c r="C551" s="8"/>
      <c r="D551" s="8"/>
      <c r="G551" s="8"/>
    </row>
    <row r="552" spans="1:7" s="9" customFormat="1" ht="15" customHeight="1" x14ac:dyDescent="0.25">
      <c r="A552" s="47"/>
      <c r="B552" s="8"/>
      <c r="C552" s="8"/>
      <c r="D552" s="8"/>
      <c r="G552" s="8"/>
    </row>
    <row r="553" spans="1:7" s="9" customFormat="1" ht="15" customHeight="1" x14ac:dyDescent="0.25">
      <c r="A553" s="47"/>
      <c r="B553" s="8"/>
      <c r="C553" s="8"/>
      <c r="D553" s="8"/>
      <c r="G553" s="8"/>
    </row>
    <row r="554" spans="1:7" s="9" customFormat="1" ht="15" customHeight="1" x14ac:dyDescent="0.25">
      <c r="A554" s="47"/>
      <c r="B554" s="8"/>
      <c r="C554" s="8"/>
      <c r="D554" s="8"/>
      <c r="G554" s="8"/>
    </row>
    <row r="555" spans="1:7" s="9" customFormat="1" ht="15" customHeight="1" x14ac:dyDescent="0.25">
      <c r="A555" s="47"/>
      <c r="B555" s="8"/>
      <c r="C555" s="8"/>
      <c r="D555" s="8"/>
      <c r="G555" s="8"/>
    </row>
    <row r="556" spans="1:7" s="9" customFormat="1" ht="15" customHeight="1" x14ac:dyDescent="0.25">
      <c r="A556" s="47"/>
      <c r="B556" s="8"/>
      <c r="C556" s="8"/>
      <c r="D556" s="8"/>
      <c r="G556" s="8"/>
    </row>
    <row r="557" spans="1:7" s="9" customFormat="1" ht="15" customHeight="1" x14ac:dyDescent="0.25">
      <c r="A557" s="47"/>
      <c r="B557" s="8"/>
      <c r="C557" s="8"/>
      <c r="D557" s="8"/>
      <c r="G557" s="8"/>
    </row>
    <row r="558" spans="1:7" s="9" customFormat="1" ht="15" customHeight="1" x14ac:dyDescent="0.25">
      <c r="A558" s="47"/>
      <c r="B558" s="8"/>
      <c r="C558" s="8"/>
      <c r="D558" s="8"/>
      <c r="G558" s="8"/>
    </row>
    <row r="559" spans="1:7" s="9" customFormat="1" ht="15" customHeight="1" x14ac:dyDescent="0.25">
      <c r="A559" s="47"/>
      <c r="B559" s="8"/>
      <c r="C559" s="8"/>
      <c r="D559" s="8"/>
      <c r="G559" s="8"/>
    </row>
    <row r="560" spans="1:7" s="9" customFormat="1" ht="15" customHeight="1" x14ac:dyDescent="0.25">
      <c r="A560" s="47"/>
      <c r="B560" s="8"/>
      <c r="C560" s="8"/>
      <c r="D560" s="8"/>
      <c r="G560" s="8"/>
    </row>
    <row r="561" spans="1:7" s="9" customFormat="1" ht="15" customHeight="1" x14ac:dyDescent="0.25">
      <c r="A561" s="47"/>
      <c r="B561" s="8"/>
      <c r="C561" s="8"/>
      <c r="D561" s="8"/>
      <c r="G561" s="8"/>
    </row>
    <row r="562" spans="1:7" s="9" customFormat="1" ht="15" customHeight="1" x14ac:dyDescent="0.25">
      <c r="A562" s="47"/>
      <c r="B562" s="8"/>
      <c r="C562" s="8"/>
      <c r="D562" s="8"/>
      <c r="G562" s="8"/>
    </row>
    <row r="563" spans="1:7" s="9" customFormat="1" ht="15" customHeight="1" x14ac:dyDescent="0.25">
      <c r="A563" s="47"/>
      <c r="B563" s="8"/>
      <c r="C563" s="8"/>
      <c r="D563" s="8"/>
      <c r="G563" s="8"/>
    </row>
    <row r="564" spans="1:7" s="9" customFormat="1" ht="15" customHeight="1" x14ac:dyDescent="0.25">
      <c r="A564" s="47"/>
      <c r="B564" s="8"/>
      <c r="C564" s="8"/>
      <c r="D564" s="8"/>
      <c r="G564" s="8"/>
    </row>
    <row r="565" spans="1:7" s="9" customFormat="1" ht="15" customHeight="1" x14ac:dyDescent="0.25">
      <c r="A565" s="47"/>
      <c r="B565" s="8"/>
      <c r="C565" s="8"/>
      <c r="D565" s="8"/>
      <c r="G565" s="8"/>
    </row>
    <row r="566" spans="1:7" s="9" customFormat="1" ht="15" customHeight="1" x14ac:dyDescent="0.25">
      <c r="A566" s="47"/>
      <c r="B566" s="8"/>
      <c r="C566" s="8"/>
      <c r="D566" s="8"/>
      <c r="G566" s="8"/>
    </row>
    <row r="567" spans="1:7" s="9" customFormat="1" ht="15" customHeight="1" x14ac:dyDescent="0.25">
      <c r="A567" s="47"/>
      <c r="B567" s="8"/>
      <c r="C567" s="8"/>
      <c r="D567" s="8"/>
      <c r="G567" s="8"/>
    </row>
    <row r="568" spans="1:7" s="9" customFormat="1" ht="15" customHeight="1" x14ac:dyDescent="0.25">
      <c r="A568" s="47"/>
      <c r="B568" s="8"/>
      <c r="C568" s="8"/>
      <c r="D568" s="8"/>
      <c r="G568" s="8"/>
    </row>
    <row r="569" spans="1:7" s="9" customFormat="1" ht="15" customHeight="1" x14ac:dyDescent="0.25">
      <c r="A569" s="47"/>
      <c r="B569" s="8"/>
      <c r="C569" s="8"/>
      <c r="D569" s="8"/>
      <c r="G569" s="8"/>
    </row>
    <row r="570" spans="1:7" s="9" customFormat="1" ht="15" customHeight="1" x14ac:dyDescent="0.25">
      <c r="A570" s="47"/>
      <c r="B570" s="8"/>
      <c r="C570" s="8"/>
      <c r="D570" s="8"/>
      <c r="G570" s="8"/>
    </row>
    <row r="571" spans="1:7" s="9" customFormat="1" ht="15" customHeight="1" x14ac:dyDescent="0.25">
      <c r="A571" s="47"/>
      <c r="B571" s="8"/>
      <c r="C571" s="8"/>
      <c r="D571" s="8"/>
      <c r="G571" s="8"/>
    </row>
    <row r="572" spans="1:7" s="9" customFormat="1" ht="15" customHeight="1" x14ac:dyDescent="0.25">
      <c r="A572" s="47"/>
      <c r="B572" s="8"/>
      <c r="C572" s="8"/>
      <c r="D572" s="8"/>
      <c r="G572" s="8"/>
    </row>
    <row r="573" spans="1:7" s="9" customFormat="1" ht="15" customHeight="1" x14ac:dyDescent="0.25">
      <c r="A573" s="47"/>
      <c r="B573" s="8"/>
      <c r="C573" s="8"/>
      <c r="D573" s="8"/>
      <c r="G573" s="8"/>
    </row>
    <row r="574" spans="1:7" s="9" customFormat="1" ht="15" customHeight="1" x14ac:dyDescent="0.25">
      <c r="A574" s="47"/>
      <c r="B574" s="8"/>
      <c r="C574" s="8"/>
      <c r="D574" s="8"/>
      <c r="G574" s="8"/>
    </row>
    <row r="575" spans="1:7" s="9" customFormat="1" ht="15" customHeight="1" x14ac:dyDescent="0.25">
      <c r="A575" s="47"/>
      <c r="B575" s="8"/>
      <c r="C575" s="8"/>
      <c r="D575" s="8"/>
      <c r="G575" s="8"/>
    </row>
    <row r="576" spans="1:7" s="9" customFormat="1" ht="15" customHeight="1" x14ac:dyDescent="0.25">
      <c r="A576" s="47"/>
      <c r="B576" s="8"/>
      <c r="C576" s="8"/>
      <c r="D576" s="8"/>
      <c r="G576" s="8"/>
    </row>
    <row r="577" spans="1:7" s="9" customFormat="1" ht="15" customHeight="1" x14ac:dyDescent="0.25">
      <c r="A577" s="47"/>
      <c r="B577" s="8"/>
      <c r="C577" s="8"/>
      <c r="D577" s="8"/>
      <c r="G577" s="8"/>
    </row>
    <row r="578" spans="1:7" s="9" customFormat="1" ht="15" customHeight="1" x14ac:dyDescent="0.25">
      <c r="A578" s="47"/>
      <c r="B578" s="8"/>
      <c r="C578" s="8"/>
      <c r="D578" s="8"/>
      <c r="G578" s="8"/>
    </row>
    <row r="579" spans="1:7" s="9" customFormat="1" ht="15" customHeight="1" x14ac:dyDescent="0.25">
      <c r="A579" s="47"/>
      <c r="B579" s="8"/>
      <c r="C579" s="8"/>
      <c r="D579" s="8"/>
      <c r="G579" s="8"/>
    </row>
    <row r="580" spans="1:7" s="9" customFormat="1" ht="15" customHeight="1" x14ac:dyDescent="0.25">
      <c r="A580" s="47"/>
      <c r="B580" s="8"/>
      <c r="C580" s="8"/>
      <c r="D580" s="8"/>
      <c r="G580" s="8"/>
    </row>
    <row r="581" spans="1:7" s="9" customFormat="1" ht="15" customHeight="1" x14ac:dyDescent="0.25">
      <c r="A581" s="47"/>
      <c r="B581" s="8"/>
      <c r="C581" s="8"/>
      <c r="D581" s="8"/>
      <c r="G581" s="8"/>
    </row>
    <row r="582" spans="1:7" s="9" customFormat="1" ht="15" customHeight="1" x14ac:dyDescent="0.25">
      <c r="A582" s="47"/>
      <c r="B582" s="8"/>
      <c r="C582" s="8"/>
      <c r="D582" s="8"/>
      <c r="G582" s="8"/>
    </row>
    <row r="583" spans="1:7" s="9" customFormat="1" ht="15" customHeight="1" x14ac:dyDescent="0.25">
      <c r="A583" s="47"/>
      <c r="B583" s="8"/>
      <c r="C583" s="8"/>
      <c r="D583" s="8"/>
      <c r="G583" s="8"/>
    </row>
    <row r="584" spans="1:7" s="9" customFormat="1" ht="15" customHeight="1" x14ac:dyDescent="0.25">
      <c r="A584" s="47"/>
      <c r="B584" s="8"/>
      <c r="C584" s="8"/>
      <c r="D584" s="8"/>
      <c r="G584" s="8"/>
    </row>
    <row r="585" spans="1:7" s="9" customFormat="1" ht="15" customHeight="1" x14ac:dyDescent="0.25">
      <c r="A585" s="47"/>
      <c r="B585" s="8"/>
      <c r="C585" s="8"/>
      <c r="D585" s="8"/>
      <c r="G585" s="8"/>
    </row>
    <row r="586" spans="1:7" s="9" customFormat="1" ht="15" customHeight="1" x14ac:dyDescent="0.25">
      <c r="A586" s="47"/>
      <c r="B586" s="8"/>
      <c r="C586" s="8"/>
      <c r="D586" s="8"/>
      <c r="G586" s="8"/>
    </row>
    <row r="587" spans="1:7" s="9" customFormat="1" ht="15" customHeight="1" x14ac:dyDescent="0.25">
      <c r="A587" s="47"/>
      <c r="B587" s="8"/>
      <c r="C587" s="8"/>
      <c r="D587" s="8"/>
      <c r="G587" s="8"/>
    </row>
    <row r="588" spans="1:7" s="9" customFormat="1" ht="15" customHeight="1" x14ac:dyDescent="0.25">
      <c r="A588" s="47"/>
      <c r="B588" s="8"/>
      <c r="C588" s="8"/>
      <c r="D588" s="8"/>
      <c r="G588" s="8"/>
    </row>
    <row r="589" spans="1:7" s="9" customFormat="1" ht="15" customHeight="1" x14ac:dyDescent="0.25">
      <c r="A589" s="47"/>
      <c r="B589" s="8"/>
      <c r="C589" s="8"/>
      <c r="D589" s="8"/>
      <c r="G589" s="8"/>
    </row>
    <row r="590" spans="1:7" s="9" customFormat="1" ht="15" customHeight="1" x14ac:dyDescent="0.25">
      <c r="A590" s="47"/>
      <c r="B590" s="8"/>
      <c r="C590" s="8"/>
      <c r="D590" s="8"/>
      <c r="G590" s="8"/>
    </row>
    <row r="591" spans="1:7" s="9" customFormat="1" ht="15" customHeight="1" x14ac:dyDescent="0.25">
      <c r="A591" s="47"/>
      <c r="B591" s="8"/>
      <c r="C591" s="8"/>
      <c r="D591" s="8"/>
      <c r="G591" s="8"/>
    </row>
    <row r="592" spans="1:7" s="9" customFormat="1" ht="15" customHeight="1" x14ac:dyDescent="0.25">
      <c r="A592" s="47"/>
      <c r="B592" s="8"/>
      <c r="C592" s="8"/>
      <c r="D592" s="8"/>
      <c r="G592" s="8"/>
    </row>
    <row r="593" spans="1:7" s="9" customFormat="1" ht="15" customHeight="1" x14ac:dyDescent="0.25">
      <c r="A593" s="47"/>
      <c r="B593" s="8"/>
      <c r="C593" s="8"/>
      <c r="D593" s="8"/>
      <c r="G593" s="8"/>
    </row>
    <row r="594" spans="1:7" s="9" customFormat="1" ht="15" customHeight="1" x14ac:dyDescent="0.25">
      <c r="A594" s="47"/>
      <c r="B594" s="8"/>
      <c r="C594" s="8"/>
      <c r="D594" s="8"/>
      <c r="G594" s="8"/>
    </row>
    <row r="595" spans="1:7" s="9" customFormat="1" ht="15" customHeight="1" x14ac:dyDescent="0.25">
      <c r="A595" s="47"/>
      <c r="B595" s="8"/>
      <c r="C595" s="8"/>
      <c r="D595" s="8"/>
      <c r="G595" s="8"/>
    </row>
    <row r="596" spans="1:7" s="9" customFormat="1" ht="15" customHeight="1" x14ac:dyDescent="0.25">
      <c r="A596" s="47"/>
      <c r="B596" s="8"/>
      <c r="C596" s="8"/>
      <c r="D596" s="8"/>
      <c r="G596" s="8"/>
    </row>
    <row r="597" spans="1:7" s="9" customFormat="1" ht="15" customHeight="1" x14ac:dyDescent="0.25">
      <c r="A597" s="47"/>
      <c r="B597" s="8"/>
      <c r="C597" s="8"/>
      <c r="D597" s="8"/>
      <c r="G597" s="8"/>
    </row>
    <row r="598" spans="1:7" s="9" customFormat="1" ht="15" customHeight="1" x14ac:dyDescent="0.25">
      <c r="A598" s="47"/>
      <c r="B598" s="8"/>
      <c r="C598" s="8"/>
      <c r="D598" s="8"/>
      <c r="G598" s="8"/>
    </row>
    <row r="599" spans="1:7" s="9" customFormat="1" ht="15" customHeight="1" x14ac:dyDescent="0.25">
      <c r="A599" s="47"/>
      <c r="B599" s="8"/>
      <c r="C599" s="8"/>
      <c r="D599" s="8"/>
      <c r="G599" s="8"/>
    </row>
    <row r="600" spans="1:7" s="9" customFormat="1" ht="15" customHeight="1" x14ac:dyDescent="0.25">
      <c r="A600" s="47"/>
      <c r="B600" s="8"/>
      <c r="C600" s="8"/>
      <c r="D600" s="8"/>
      <c r="G600" s="8"/>
    </row>
    <row r="601" spans="1:7" s="9" customFormat="1" ht="15" customHeight="1" x14ac:dyDescent="0.25">
      <c r="A601" s="47"/>
      <c r="B601" s="8"/>
      <c r="C601" s="8"/>
      <c r="D601" s="8"/>
      <c r="G601" s="8"/>
    </row>
    <row r="602" spans="1:7" s="9" customFormat="1" ht="15" customHeight="1" x14ac:dyDescent="0.25">
      <c r="A602" s="47"/>
      <c r="B602" s="8"/>
      <c r="C602" s="8"/>
      <c r="D602" s="8"/>
      <c r="G602" s="8"/>
    </row>
    <row r="603" spans="1:7" s="9" customFormat="1" ht="15" customHeight="1" x14ac:dyDescent="0.25">
      <c r="A603" s="47"/>
      <c r="B603" s="8"/>
      <c r="C603" s="8"/>
      <c r="D603" s="8"/>
      <c r="G603" s="8"/>
    </row>
    <row r="604" spans="1:7" s="9" customFormat="1" ht="15" customHeight="1" x14ac:dyDescent="0.25">
      <c r="A604" s="47"/>
      <c r="B604" s="8"/>
      <c r="C604" s="8"/>
      <c r="D604" s="8"/>
      <c r="G604" s="8"/>
    </row>
    <row r="605" spans="1:7" s="9" customFormat="1" ht="15" customHeight="1" x14ac:dyDescent="0.25">
      <c r="A605" s="47"/>
      <c r="B605" s="8"/>
      <c r="C605" s="8"/>
      <c r="D605" s="8"/>
      <c r="G605" s="8"/>
    </row>
    <row r="606" spans="1:7" s="9" customFormat="1" ht="15" customHeight="1" x14ac:dyDescent="0.25">
      <c r="A606" s="47"/>
      <c r="B606" s="8"/>
      <c r="C606" s="8"/>
      <c r="D606" s="8"/>
      <c r="G606" s="8"/>
    </row>
    <row r="607" spans="1:7" s="9" customFormat="1" ht="15" customHeight="1" x14ac:dyDescent="0.25">
      <c r="A607" s="47"/>
      <c r="B607" s="8"/>
      <c r="C607" s="8"/>
      <c r="D607" s="8"/>
      <c r="G607" s="8"/>
    </row>
    <row r="608" spans="1:7" s="9" customFormat="1" ht="15" customHeight="1" x14ac:dyDescent="0.25">
      <c r="A608" s="47"/>
      <c r="B608" s="8"/>
      <c r="C608" s="8"/>
      <c r="D608" s="8"/>
      <c r="G608" s="8"/>
    </row>
    <row r="609" spans="1:7" s="9" customFormat="1" ht="15" customHeight="1" x14ac:dyDescent="0.25">
      <c r="A609" s="47"/>
      <c r="B609" s="8"/>
      <c r="C609" s="8"/>
      <c r="D609" s="8"/>
      <c r="G609" s="8"/>
    </row>
    <row r="610" spans="1:7" s="9" customFormat="1" ht="15" customHeight="1" x14ac:dyDescent="0.25">
      <c r="A610" s="47"/>
      <c r="B610" s="8"/>
      <c r="C610" s="8"/>
      <c r="D610" s="8"/>
      <c r="G610" s="8"/>
    </row>
    <row r="611" spans="1:7" s="9" customFormat="1" ht="15" customHeight="1" x14ac:dyDescent="0.25">
      <c r="A611" s="47"/>
      <c r="B611" s="8"/>
      <c r="C611" s="8"/>
      <c r="D611" s="8"/>
      <c r="G611" s="8"/>
    </row>
    <row r="612" spans="1:7" s="9" customFormat="1" ht="15" customHeight="1" x14ac:dyDescent="0.25">
      <c r="A612" s="47"/>
      <c r="B612" s="8"/>
      <c r="C612" s="8"/>
      <c r="D612" s="8"/>
      <c r="G612" s="8"/>
    </row>
    <row r="613" spans="1:7" s="9" customFormat="1" ht="15" customHeight="1" x14ac:dyDescent="0.25">
      <c r="A613" s="47"/>
      <c r="B613" s="8"/>
      <c r="C613" s="8"/>
      <c r="D613" s="8"/>
      <c r="G613" s="8"/>
    </row>
    <row r="614" spans="1:7" s="9" customFormat="1" ht="15" customHeight="1" x14ac:dyDescent="0.25">
      <c r="A614" s="47"/>
      <c r="B614" s="8"/>
      <c r="C614" s="8"/>
      <c r="D614" s="8"/>
      <c r="G614" s="8"/>
    </row>
    <row r="615" spans="1:7" s="9" customFormat="1" ht="15" customHeight="1" x14ac:dyDescent="0.25">
      <c r="A615" s="47"/>
      <c r="B615" s="8"/>
      <c r="C615" s="8"/>
      <c r="D615" s="8"/>
      <c r="G615" s="8"/>
    </row>
    <row r="616" spans="1:7" s="9" customFormat="1" ht="15" customHeight="1" x14ac:dyDescent="0.25">
      <c r="A616" s="47"/>
      <c r="B616" s="8"/>
      <c r="C616" s="8"/>
      <c r="D616" s="8"/>
      <c r="G616" s="8"/>
    </row>
    <row r="617" spans="1:7" s="9" customFormat="1" ht="15" customHeight="1" x14ac:dyDescent="0.25">
      <c r="A617" s="47"/>
      <c r="B617" s="8"/>
      <c r="C617" s="8"/>
      <c r="D617" s="8"/>
      <c r="G617" s="8"/>
    </row>
    <row r="618" spans="1:7" s="9" customFormat="1" ht="15" customHeight="1" x14ac:dyDescent="0.25">
      <c r="A618" s="47"/>
      <c r="B618" s="8"/>
      <c r="C618" s="8"/>
      <c r="D618" s="8"/>
      <c r="G618" s="8"/>
    </row>
    <row r="619" spans="1:7" s="9" customFormat="1" ht="15" customHeight="1" x14ac:dyDescent="0.25">
      <c r="A619" s="47"/>
      <c r="B619" s="8"/>
      <c r="C619" s="8"/>
      <c r="D619" s="8"/>
      <c r="G619" s="8"/>
    </row>
    <row r="620" spans="1:7" s="9" customFormat="1" ht="15" customHeight="1" x14ac:dyDescent="0.25">
      <c r="A620" s="47"/>
      <c r="B620" s="8"/>
      <c r="C620" s="8"/>
      <c r="D620" s="8"/>
      <c r="G620" s="8"/>
    </row>
    <row r="621" spans="1:7" s="9" customFormat="1" ht="15" customHeight="1" x14ac:dyDescent="0.25">
      <c r="A621" s="47"/>
      <c r="B621" s="8"/>
      <c r="C621" s="8"/>
      <c r="D621" s="8"/>
      <c r="G621" s="8"/>
    </row>
    <row r="622" spans="1:7" s="9" customFormat="1" ht="15" customHeight="1" x14ac:dyDescent="0.25">
      <c r="A622" s="47"/>
      <c r="B622" s="8"/>
      <c r="C622" s="8"/>
      <c r="D622" s="8"/>
      <c r="G622" s="8"/>
    </row>
    <row r="623" spans="1:7" s="9" customFormat="1" ht="15" customHeight="1" x14ac:dyDescent="0.25">
      <c r="A623" s="47"/>
      <c r="B623" s="8"/>
      <c r="C623" s="8"/>
      <c r="D623" s="8"/>
      <c r="G623" s="8"/>
    </row>
    <row r="624" spans="1:7" s="9" customFormat="1" ht="15" customHeight="1" x14ac:dyDescent="0.25">
      <c r="A624" s="47"/>
      <c r="B624" s="8"/>
      <c r="C624" s="8"/>
      <c r="D624" s="8"/>
      <c r="G624" s="8"/>
    </row>
    <row r="625" spans="1:7" s="9" customFormat="1" ht="15" customHeight="1" x14ac:dyDescent="0.25">
      <c r="A625" s="47"/>
      <c r="B625" s="8"/>
      <c r="C625" s="8"/>
      <c r="D625" s="8"/>
      <c r="G625" s="8"/>
    </row>
    <row r="626" spans="1:7" s="9" customFormat="1" ht="15" customHeight="1" x14ac:dyDescent="0.25">
      <c r="A626" s="47"/>
      <c r="B626" s="8"/>
      <c r="C626" s="8"/>
      <c r="D626" s="8"/>
      <c r="G626" s="8"/>
    </row>
    <row r="627" spans="1:7" s="9" customFormat="1" ht="15" customHeight="1" x14ac:dyDescent="0.25">
      <c r="A627" s="47"/>
      <c r="B627" s="8"/>
      <c r="C627" s="8"/>
      <c r="D627" s="8"/>
      <c r="G627" s="8"/>
    </row>
    <row r="628" spans="1:7" s="9" customFormat="1" ht="15" customHeight="1" x14ac:dyDescent="0.25">
      <c r="A628" s="47"/>
      <c r="B628" s="8"/>
      <c r="C628" s="8"/>
      <c r="D628" s="8"/>
      <c r="G628" s="8"/>
    </row>
    <row r="629" spans="1:7" s="9" customFormat="1" ht="15" customHeight="1" x14ac:dyDescent="0.25">
      <c r="A629" s="47"/>
      <c r="B629" s="8"/>
      <c r="C629" s="8"/>
      <c r="D629" s="8"/>
      <c r="G629" s="8"/>
    </row>
    <row r="630" spans="1:7" s="9" customFormat="1" ht="15" customHeight="1" x14ac:dyDescent="0.25">
      <c r="A630" s="47"/>
      <c r="B630" s="8"/>
      <c r="C630" s="8"/>
      <c r="D630" s="8"/>
      <c r="G630" s="8"/>
    </row>
    <row r="631" spans="1:7" s="9" customFormat="1" ht="15" customHeight="1" x14ac:dyDescent="0.25">
      <c r="A631" s="47"/>
      <c r="B631" s="8"/>
      <c r="C631" s="8"/>
      <c r="D631" s="8"/>
      <c r="G631" s="8"/>
    </row>
    <row r="632" spans="1:7" s="9" customFormat="1" ht="15" customHeight="1" x14ac:dyDescent="0.25">
      <c r="A632" s="47"/>
      <c r="B632" s="8"/>
      <c r="C632" s="8"/>
      <c r="D632" s="8"/>
      <c r="G632" s="8"/>
    </row>
    <row r="633" spans="1:7" s="9" customFormat="1" ht="15" customHeight="1" x14ac:dyDescent="0.25">
      <c r="A633" s="47"/>
      <c r="B633" s="8"/>
      <c r="C633" s="8"/>
      <c r="D633" s="8"/>
      <c r="G633" s="8"/>
    </row>
    <row r="634" spans="1:7" s="9" customFormat="1" ht="15" customHeight="1" x14ac:dyDescent="0.25">
      <c r="A634" s="47"/>
      <c r="B634" s="8"/>
      <c r="C634" s="8"/>
      <c r="D634" s="8"/>
      <c r="G634" s="8"/>
    </row>
    <row r="635" spans="1:7" s="9" customFormat="1" ht="15" customHeight="1" x14ac:dyDescent="0.25">
      <c r="A635" s="47"/>
      <c r="B635" s="8"/>
      <c r="C635" s="8"/>
      <c r="D635" s="8"/>
      <c r="G635" s="8"/>
    </row>
    <row r="636" spans="1:7" s="9" customFormat="1" ht="15" customHeight="1" x14ac:dyDescent="0.25">
      <c r="A636" s="47"/>
      <c r="B636" s="8"/>
      <c r="C636" s="8"/>
      <c r="D636" s="8"/>
      <c r="G636" s="8"/>
    </row>
    <row r="637" spans="1:7" s="9" customFormat="1" ht="15" customHeight="1" x14ac:dyDescent="0.25">
      <c r="A637" s="47"/>
      <c r="B637" s="8"/>
      <c r="C637" s="8"/>
      <c r="D637" s="8"/>
      <c r="G637" s="8"/>
    </row>
    <row r="638" spans="1:7" s="9" customFormat="1" ht="15" customHeight="1" x14ac:dyDescent="0.25">
      <c r="A638" s="47"/>
      <c r="B638" s="8"/>
      <c r="C638" s="8"/>
      <c r="D638" s="8"/>
      <c r="G638" s="8"/>
    </row>
    <row r="639" spans="1:7" s="9" customFormat="1" ht="15" customHeight="1" x14ac:dyDescent="0.25">
      <c r="A639" s="47"/>
      <c r="B639" s="8"/>
      <c r="C639" s="8"/>
      <c r="D639" s="8"/>
      <c r="G639" s="8"/>
    </row>
    <row r="640" spans="1:7" s="9" customFormat="1" ht="15" customHeight="1" x14ac:dyDescent="0.25">
      <c r="A640" s="47"/>
      <c r="B640" s="8"/>
      <c r="C640" s="8"/>
      <c r="D640" s="8"/>
      <c r="G640" s="8"/>
    </row>
    <row r="641" spans="1:7" s="9" customFormat="1" ht="15" customHeight="1" x14ac:dyDescent="0.25">
      <c r="A641" s="47"/>
      <c r="B641" s="8"/>
      <c r="C641" s="8"/>
      <c r="D641" s="8"/>
      <c r="G641" s="8"/>
    </row>
    <row r="642" spans="1:7" s="9" customFormat="1" ht="15" customHeight="1" x14ac:dyDescent="0.25">
      <c r="A642" s="47"/>
      <c r="B642" s="8"/>
      <c r="C642" s="8"/>
      <c r="D642" s="8"/>
      <c r="G642" s="8"/>
    </row>
    <row r="643" spans="1:7" s="9" customFormat="1" ht="15" customHeight="1" x14ac:dyDescent="0.25">
      <c r="A643" s="47"/>
      <c r="B643" s="8"/>
      <c r="C643" s="8"/>
      <c r="D643" s="8"/>
      <c r="G643" s="8"/>
    </row>
    <row r="644" spans="1:7" s="9" customFormat="1" ht="15" customHeight="1" x14ac:dyDescent="0.25">
      <c r="A644" s="47"/>
      <c r="B644" s="8"/>
      <c r="C644" s="8"/>
      <c r="D644" s="8"/>
      <c r="G644" s="8"/>
    </row>
    <row r="645" spans="1:7" s="9" customFormat="1" ht="15" customHeight="1" x14ac:dyDescent="0.25">
      <c r="A645" s="47"/>
      <c r="B645" s="8"/>
      <c r="C645" s="8"/>
      <c r="D645" s="8"/>
      <c r="G645" s="8"/>
    </row>
    <row r="646" spans="1:7" s="9" customFormat="1" ht="15" customHeight="1" x14ac:dyDescent="0.25">
      <c r="A646" s="47"/>
      <c r="B646" s="8"/>
      <c r="C646" s="8"/>
      <c r="D646" s="8"/>
      <c r="G646" s="8"/>
    </row>
    <row r="647" spans="1:7" s="9" customFormat="1" ht="15" customHeight="1" x14ac:dyDescent="0.25">
      <c r="A647" s="47"/>
      <c r="B647" s="8"/>
      <c r="C647" s="8"/>
      <c r="D647" s="8"/>
      <c r="G647" s="8"/>
    </row>
    <row r="648" spans="1:7" s="9" customFormat="1" ht="15" customHeight="1" x14ac:dyDescent="0.25">
      <c r="A648" s="47"/>
      <c r="B648" s="8"/>
      <c r="C648" s="8"/>
      <c r="D648" s="8"/>
      <c r="G648" s="8"/>
    </row>
    <row r="649" spans="1:7" s="9" customFormat="1" ht="15" customHeight="1" x14ac:dyDescent="0.25">
      <c r="A649" s="47"/>
      <c r="B649" s="8"/>
      <c r="C649" s="8"/>
      <c r="D649" s="8"/>
      <c r="G649" s="8"/>
    </row>
    <row r="650" spans="1:7" s="9" customFormat="1" ht="15" customHeight="1" x14ac:dyDescent="0.25">
      <c r="A650" s="47"/>
      <c r="B650" s="8"/>
      <c r="C650" s="8"/>
      <c r="D650" s="8"/>
      <c r="G650" s="8"/>
    </row>
    <row r="651" spans="1:7" s="9" customFormat="1" ht="15" customHeight="1" x14ac:dyDescent="0.25">
      <c r="A651" s="47"/>
      <c r="B651" s="8"/>
      <c r="C651" s="8"/>
      <c r="D651" s="8"/>
      <c r="G651" s="8"/>
    </row>
    <row r="652" spans="1:7" s="9" customFormat="1" ht="15" customHeight="1" x14ac:dyDescent="0.25">
      <c r="A652" s="47"/>
      <c r="B652" s="8"/>
      <c r="C652" s="8"/>
      <c r="D652" s="8"/>
      <c r="G652" s="8"/>
    </row>
    <row r="653" spans="1:7" s="9" customFormat="1" ht="15" customHeight="1" x14ac:dyDescent="0.25">
      <c r="A653" s="47"/>
      <c r="B653" s="8"/>
      <c r="C653" s="8"/>
      <c r="D653" s="8"/>
      <c r="G653" s="8"/>
    </row>
    <row r="654" spans="1:7" s="9" customFormat="1" ht="15" customHeight="1" x14ac:dyDescent="0.25">
      <c r="A654" s="47"/>
      <c r="B654" s="8"/>
      <c r="C654" s="8"/>
      <c r="D654" s="8"/>
      <c r="G654" s="8"/>
    </row>
    <row r="655" spans="1:7" s="9" customFormat="1" ht="15" customHeight="1" x14ac:dyDescent="0.25">
      <c r="A655" s="47"/>
      <c r="B655" s="8"/>
      <c r="C655" s="8"/>
      <c r="D655" s="8"/>
      <c r="G655" s="8"/>
    </row>
    <row r="656" spans="1:7" s="9" customFormat="1" ht="15" customHeight="1" x14ac:dyDescent="0.25">
      <c r="A656" s="47"/>
      <c r="B656" s="8"/>
      <c r="C656" s="8"/>
      <c r="D656" s="8"/>
      <c r="G656" s="8"/>
    </row>
    <row r="657" spans="1:7" s="9" customFormat="1" ht="15" customHeight="1" x14ac:dyDescent="0.25">
      <c r="A657" s="47"/>
      <c r="B657" s="8"/>
      <c r="C657" s="8"/>
      <c r="D657" s="8"/>
      <c r="G657" s="8"/>
    </row>
    <row r="658" spans="1:7" s="9" customFormat="1" ht="15" customHeight="1" x14ac:dyDescent="0.25">
      <c r="A658" s="47"/>
      <c r="B658" s="8"/>
      <c r="C658" s="8"/>
      <c r="D658" s="8"/>
      <c r="G658" s="8"/>
    </row>
    <row r="659" spans="1:7" s="9" customFormat="1" ht="15" customHeight="1" x14ac:dyDescent="0.25">
      <c r="A659" s="47"/>
      <c r="B659" s="8"/>
      <c r="C659" s="8"/>
      <c r="D659" s="8"/>
      <c r="G659" s="8"/>
    </row>
    <row r="660" spans="1:7" s="9" customFormat="1" ht="15" customHeight="1" x14ac:dyDescent="0.25">
      <c r="A660" s="47"/>
      <c r="B660" s="8"/>
      <c r="C660" s="8"/>
      <c r="D660" s="8"/>
      <c r="G660" s="8"/>
    </row>
    <row r="661" spans="1:7" s="9" customFormat="1" ht="15" customHeight="1" x14ac:dyDescent="0.25">
      <c r="A661" s="47"/>
      <c r="B661" s="8"/>
      <c r="C661" s="8"/>
      <c r="D661" s="8"/>
      <c r="G661" s="8"/>
    </row>
    <row r="662" spans="1:7" s="9" customFormat="1" ht="15" customHeight="1" x14ac:dyDescent="0.25">
      <c r="A662" s="47"/>
      <c r="B662" s="8"/>
      <c r="C662" s="8"/>
      <c r="D662" s="8"/>
      <c r="G662" s="8"/>
    </row>
    <row r="663" spans="1:7" s="9" customFormat="1" ht="15" customHeight="1" x14ac:dyDescent="0.25">
      <c r="A663" s="47"/>
      <c r="B663" s="8"/>
      <c r="C663" s="8"/>
      <c r="D663" s="8"/>
      <c r="G663" s="8"/>
    </row>
    <row r="664" spans="1:7" s="9" customFormat="1" ht="15" customHeight="1" x14ac:dyDescent="0.25">
      <c r="A664" s="47"/>
      <c r="B664" s="8"/>
      <c r="C664" s="8"/>
      <c r="D664" s="8"/>
      <c r="G664" s="8"/>
    </row>
    <row r="665" spans="1:7" s="9" customFormat="1" ht="15" customHeight="1" x14ac:dyDescent="0.25">
      <c r="A665" s="47"/>
      <c r="B665" s="8"/>
      <c r="C665" s="8"/>
      <c r="D665" s="8"/>
      <c r="G665" s="8"/>
    </row>
    <row r="666" spans="1:7" s="9" customFormat="1" ht="15" customHeight="1" x14ac:dyDescent="0.25">
      <c r="A666" s="47"/>
      <c r="B666" s="8"/>
      <c r="C666" s="8"/>
      <c r="D666" s="8"/>
      <c r="G666" s="8"/>
    </row>
    <row r="667" spans="1:7" s="9" customFormat="1" ht="15" customHeight="1" x14ac:dyDescent="0.25">
      <c r="A667" s="47"/>
      <c r="B667" s="8"/>
      <c r="C667" s="8"/>
      <c r="D667" s="8"/>
      <c r="G667" s="8"/>
    </row>
    <row r="668" spans="1:7" s="9" customFormat="1" ht="15" customHeight="1" x14ac:dyDescent="0.25">
      <c r="A668" s="47"/>
      <c r="B668" s="8"/>
      <c r="C668" s="8"/>
      <c r="D668" s="8"/>
      <c r="G668" s="8"/>
    </row>
    <row r="669" spans="1:7" s="9" customFormat="1" ht="15" customHeight="1" x14ac:dyDescent="0.25">
      <c r="A669" s="47"/>
      <c r="B669" s="8"/>
      <c r="C669" s="8"/>
      <c r="D669" s="8"/>
      <c r="G669" s="8"/>
    </row>
    <row r="670" spans="1:7" s="9" customFormat="1" ht="15" customHeight="1" x14ac:dyDescent="0.25">
      <c r="A670" s="47"/>
      <c r="B670" s="8"/>
      <c r="C670" s="8"/>
      <c r="D670" s="8"/>
      <c r="G670" s="8"/>
    </row>
    <row r="671" spans="1:7" s="9" customFormat="1" ht="15" customHeight="1" x14ac:dyDescent="0.25">
      <c r="A671" s="47"/>
      <c r="B671" s="8"/>
      <c r="C671" s="8"/>
      <c r="D671" s="8"/>
      <c r="G671" s="8"/>
    </row>
    <row r="672" spans="1:7" s="9" customFormat="1" ht="15" customHeight="1" x14ac:dyDescent="0.25">
      <c r="A672" s="47"/>
      <c r="B672" s="8"/>
      <c r="C672" s="8"/>
      <c r="D672" s="8"/>
      <c r="G672" s="8"/>
    </row>
    <row r="673" spans="1:7" s="9" customFormat="1" ht="15" customHeight="1" x14ac:dyDescent="0.25">
      <c r="A673" s="47"/>
      <c r="B673" s="8"/>
      <c r="C673" s="8"/>
      <c r="D673" s="8"/>
      <c r="G673" s="8"/>
    </row>
    <row r="674" spans="1:7" s="9" customFormat="1" ht="15" customHeight="1" x14ac:dyDescent="0.25">
      <c r="A674" s="47"/>
      <c r="B674" s="8"/>
      <c r="C674" s="8"/>
      <c r="D674" s="8"/>
      <c r="G674" s="8"/>
    </row>
    <row r="675" spans="1:7" s="9" customFormat="1" ht="15" customHeight="1" x14ac:dyDescent="0.25">
      <c r="A675" s="47"/>
      <c r="B675" s="8"/>
      <c r="C675" s="8"/>
      <c r="D675" s="8"/>
      <c r="G675" s="8"/>
    </row>
    <row r="676" spans="1:7" s="9" customFormat="1" ht="15" customHeight="1" x14ac:dyDescent="0.25">
      <c r="A676" s="47"/>
      <c r="B676" s="8"/>
      <c r="C676" s="8"/>
      <c r="D676" s="8"/>
      <c r="G676" s="8"/>
    </row>
    <row r="677" spans="1:7" s="9" customFormat="1" ht="15" customHeight="1" x14ac:dyDescent="0.25">
      <c r="A677" s="47"/>
      <c r="B677" s="8"/>
      <c r="C677" s="8"/>
      <c r="D677" s="8"/>
      <c r="G677" s="8"/>
    </row>
    <row r="678" spans="1:7" s="9" customFormat="1" ht="15" customHeight="1" x14ac:dyDescent="0.25">
      <c r="A678" s="47"/>
      <c r="B678" s="8"/>
      <c r="C678" s="8"/>
      <c r="D678" s="8"/>
      <c r="G678" s="8"/>
    </row>
    <row r="679" spans="1:7" s="9" customFormat="1" ht="15" customHeight="1" x14ac:dyDescent="0.25">
      <c r="A679" s="47"/>
      <c r="B679" s="8"/>
      <c r="C679" s="8"/>
      <c r="D679" s="8"/>
      <c r="G679" s="8"/>
    </row>
    <row r="680" spans="1:7" s="9" customFormat="1" ht="15" customHeight="1" x14ac:dyDescent="0.25">
      <c r="A680" s="47"/>
      <c r="B680" s="8"/>
      <c r="C680" s="8"/>
      <c r="D680" s="8"/>
      <c r="G680" s="8"/>
    </row>
    <row r="681" spans="1:7" s="9" customFormat="1" ht="15" customHeight="1" x14ac:dyDescent="0.25">
      <c r="A681" s="47"/>
      <c r="B681" s="8"/>
      <c r="C681" s="8"/>
      <c r="D681" s="8"/>
      <c r="G681" s="8"/>
    </row>
    <row r="682" spans="1:7" s="9" customFormat="1" ht="15" customHeight="1" x14ac:dyDescent="0.25">
      <c r="A682" s="47"/>
      <c r="B682" s="8"/>
      <c r="C682" s="8"/>
      <c r="D682" s="8"/>
      <c r="G682" s="8"/>
    </row>
    <row r="683" spans="1:7" s="9" customFormat="1" ht="15" customHeight="1" x14ac:dyDescent="0.25">
      <c r="A683" s="47"/>
      <c r="B683" s="8"/>
      <c r="C683" s="8"/>
      <c r="D683" s="8"/>
      <c r="G683" s="8"/>
    </row>
    <row r="684" spans="1:7" s="9" customFormat="1" ht="15" customHeight="1" x14ac:dyDescent="0.25">
      <c r="A684" s="47"/>
      <c r="B684" s="8"/>
      <c r="C684" s="8"/>
      <c r="D684" s="8"/>
      <c r="G684" s="8"/>
    </row>
    <row r="685" spans="1:7" s="9" customFormat="1" ht="15" customHeight="1" x14ac:dyDescent="0.25">
      <c r="A685" s="47"/>
      <c r="B685" s="8"/>
      <c r="C685" s="8"/>
      <c r="D685" s="8"/>
      <c r="G685" s="8"/>
    </row>
    <row r="686" spans="1:7" s="9" customFormat="1" ht="15" customHeight="1" x14ac:dyDescent="0.25">
      <c r="A686" s="47"/>
      <c r="B686" s="8"/>
      <c r="C686" s="8"/>
      <c r="D686" s="8"/>
      <c r="G686" s="8"/>
    </row>
    <row r="687" spans="1:7" s="9" customFormat="1" ht="15" customHeight="1" x14ac:dyDescent="0.25">
      <c r="A687" s="47"/>
      <c r="B687" s="8"/>
      <c r="C687" s="8"/>
      <c r="D687" s="8"/>
      <c r="G687" s="8"/>
    </row>
    <row r="688" spans="1:7" s="9" customFormat="1" ht="15" customHeight="1" x14ac:dyDescent="0.25">
      <c r="A688" s="47"/>
      <c r="B688" s="8"/>
      <c r="C688" s="8"/>
      <c r="D688" s="8"/>
      <c r="G688" s="8"/>
    </row>
    <row r="689" spans="1:7" s="9" customFormat="1" ht="15" customHeight="1" x14ac:dyDescent="0.25">
      <c r="A689" s="47"/>
      <c r="B689" s="8"/>
      <c r="C689" s="8"/>
      <c r="D689" s="8"/>
      <c r="G689" s="8"/>
    </row>
    <row r="690" spans="1:7" s="9" customFormat="1" ht="15" customHeight="1" x14ac:dyDescent="0.25">
      <c r="A690" s="47"/>
      <c r="B690" s="8"/>
      <c r="C690" s="8"/>
      <c r="D690" s="8"/>
      <c r="G690" s="8"/>
    </row>
    <row r="691" spans="1:7" s="9" customFormat="1" ht="15" customHeight="1" x14ac:dyDescent="0.25">
      <c r="A691" s="47"/>
      <c r="B691" s="8"/>
      <c r="C691" s="8"/>
      <c r="D691" s="8"/>
      <c r="G691" s="8"/>
    </row>
    <row r="692" spans="1:7" s="9" customFormat="1" ht="15" customHeight="1" x14ac:dyDescent="0.25">
      <c r="A692" s="47"/>
      <c r="B692" s="8"/>
      <c r="C692" s="8"/>
      <c r="D692" s="8"/>
      <c r="G692" s="8"/>
    </row>
    <row r="693" spans="1:7" s="9" customFormat="1" ht="15" customHeight="1" x14ac:dyDescent="0.25">
      <c r="A693" s="47"/>
      <c r="B693" s="8"/>
      <c r="C693" s="8"/>
      <c r="D693" s="8"/>
      <c r="G693" s="8"/>
    </row>
    <row r="694" spans="1:7" s="9" customFormat="1" ht="15" customHeight="1" x14ac:dyDescent="0.25">
      <c r="A694" s="47"/>
      <c r="B694" s="8"/>
      <c r="C694" s="8"/>
      <c r="D694" s="8"/>
      <c r="G694" s="8"/>
    </row>
    <row r="695" spans="1:7" s="9" customFormat="1" ht="15" customHeight="1" x14ac:dyDescent="0.25">
      <c r="A695" s="47"/>
      <c r="B695" s="8"/>
      <c r="C695" s="8"/>
      <c r="D695" s="8"/>
      <c r="G695" s="8"/>
    </row>
    <row r="696" spans="1:7" s="9" customFormat="1" ht="15" customHeight="1" x14ac:dyDescent="0.25">
      <c r="A696" s="47"/>
      <c r="B696" s="8"/>
      <c r="C696" s="8"/>
      <c r="D696" s="8"/>
      <c r="G696" s="8"/>
    </row>
    <row r="697" spans="1:7" s="9" customFormat="1" ht="15" customHeight="1" x14ac:dyDescent="0.25">
      <c r="A697" s="47"/>
      <c r="B697" s="8"/>
      <c r="C697" s="8"/>
      <c r="D697" s="8"/>
      <c r="G697" s="8"/>
    </row>
    <row r="698" spans="1:7" s="9" customFormat="1" ht="15" customHeight="1" x14ac:dyDescent="0.25">
      <c r="A698" s="47"/>
      <c r="B698" s="8"/>
      <c r="C698" s="8"/>
      <c r="D698" s="8"/>
      <c r="G698" s="8"/>
    </row>
    <row r="699" spans="1:7" s="9" customFormat="1" ht="15" customHeight="1" x14ac:dyDescent="0.25">
      <c r="A699" s="47"/>
      <c r="B699" s="8"/>
      <c r="C699" s="8"/>
      <c r="D699" s="8"/>
      <c r="G699" s="8"/>
    </row>
    <row r="700" spans="1:7" s="9" customFormat="1" ht="15" customHeight="1" x14ac:dyDescent="0.25">
      <c r="A700" s="47"/>
      <c r="B700" s="8"/>
      <c r="C700" s="8"/>
      <c r="D700" s="8"/>
      <c r="G700" s="8"/>
    </row>
    <row r="701" spans="1:7" s="9" customFormat="1" ht="15" customHeight="1" x14ac:dyDescent="0.25">
      <c r="A701" s="47"/>
      <c r="B701" s="8"/>
      <c r="C701" s="8"/>
      <c r="D701" s="8"/>
      <c r="G701" s="8"/>
    </row>
    <row r="702" spans="1:7" s="9" customFormat="1" ht="15" customHeight="1" x14ac:dyDescent="0.25">
      <c r="A702" s="47"/>
      <c r="B702" s="8"/>
      <c r="C702" s="8"/>
      <c r="D702" s="8"/>
      <c r="G702" s="8"/>
    </row>
    <row r="703" spans="1:7" s="9" customFormat="1" ht="15" customHeight="1" x14ac:dyDescent="0.25">
      <c r="A703" s="47"/>
      <c r="B703" s="8"/>
      <c r="C703" s="8"/>
      <c r="D703" s="8"/>
      <c r="G703" s="8"/>
    </row>
    <row r="704" spans="1:7" s="9" customFormat="1" ht="15" customHeight="1" x14ac:dyDescent="0.25">
      <c r="A704" s="47"/>
      <c r="B704" s="8"/>
      <c r="C704" s="8"/>
      <c r="D704" s="8"/>
      <c r="G704" s="8"/>
    </row>
    <row r="705" spans="1:7" s="9" customFormat="1" ht="15" customHeight="1" x14ac:dyDescent="0.25">
      <c r="A705" s="47"/>
      <c r="B705" s="8"/>
      <c r="C705" s="8"/>
      <c r="D705" s="8"/>
      <c r="G705" s="8"/>
    </row>
    <row r="706" spans="1:7" s="9" customFormat="1" ht="15" customHeight="1" x14ac:dyDescent="0.25">
      <c r="A706" s="47"/>
      <c r="B706" s="8"/>
      <c r="C706" s="8"/>
      <c r="D706" s="8"/>
      <c r="G706" s="8"/>
    </row>
    <row r="707" spans="1:7" s="9" customFormat="1" ht="15" customHeight="1" x14ac:dyDescent="0.25">
      <c r="A707" s="47"/>
      <c r="B707" s="8"/>
      <c r="C707" s="8"/>
      <c r="D707" s="8"/>
      <c r="G707" s="8"/>
    </row>
    <row r="708" spans="1:7" s="9" customFormat="1" ht="15" customHeight="1" x14ac:dyDescent="0.25">
      <c r="A708" s="47"/>
      <c r="B708" s="8"/>
      <c r="C708" s="8"/>
      <c r="D708" s="8"/>
      <c r="G708" s="8"/>
    </row>
    <row r="709" spans="1:7" s="9" customFormat="1" ht="15" customHeight="1" x14ac:dyDescent="0.25">
      <c r="A709" s="47"/>
      <c r="B709" s="8"/>
      <c r="C709" s="8"/>
      <c r="D709" s="8"/>
      <c r="G709" s="8"/>
    </row>
    <row r="710" spans="1:7" s="9" customFormat="1" ht="15" customHeight="1" x14ac:dyDescent="0.25">
      <c r="A710" s="47"/>
      <c r="B710" s="8"/>
      <c r="C710" s="8"/>
      <c r="D710" s="8"/>
      <c r="G710" s="8"/>
    </row>
    <row r="711" spans="1:7" s="9" customFormat="1" ht="15" customHeight="1" x14ac:dyDescent="0.25">
      <c r="A711" s="47"/>
      <c r="B711" s="8"/>
      <c r="C711" s="8"/>
      <c r="D711" s="8"/>
      <c r="G711" s="8"/>
    </row>
    <row r="712" spans="1:7" s="9" customFormat="1" ht="15" customHeight="1" x14ac:dyDescent="0.25">
      <c r="A712" s="47"/>
      <c r="B712" s="8"/>
      <c r="C712" s="8"/>
      <c r="D712" s="8"/>
      <c r="G712" s="8"/>
    </row>
    <row r="713" spans="1:7" s="9" customFormat="1" ht="15" customHeight="1" x14ac:dyDescent="0.25">
      <c r="A713" s="47"/>
      <c r="B713" s="8"/>
      <c r="C713" s="8"/>
      <c r="D713" s="8"/>
      <c r="G713" s="8"/>
    </row>
    <row r="714" spans="1:7" s="9" customFormat="1" ht="15" customHeight="1" x14ac:dyDescent="0.25">
      <c r="A714" s="47"/>
      <c r="B714" s="8"/>
      <c r="C714" s="8"/>
      <c r="D714" s="8"/>
      <c r="G714" s="8"/>
    </row>
    <row r="715" spans="1:7" s="9" customFormat="1" ht="15" customHeight="1" x14ac:dyDescent="0.25">
      <c r="A715" s="47"/>
      <c r="B715" s="8"/>
      <c r="C715" s="8"/>
      <c r="D715" s="8"/>
      <c r="G715" s="8"/>
    </row>
    <row r="716" spans="1:7" s="9" customFormat="1" ht="15" customHeight="1" x14ac:dyDescent="0.25">
      <c r="A716" s="47"/>
      <c r="B716" s="8"/>
      <c r="C716" s="8"/>
      <c r="D716" s="8"/>
      <c r="G716" s="8"/>
    </row>
    <row r="717" spans="1:7" s="9" customFormat="1" ht="15" customHeight="1" x14ac:dyDescent="0.25">
      <c r="A717" s="47"/>
      <c r="B717" s="8"/>
      <c r="C717" s="8"/>
      <c r="D717" s="8"/>
      <c r="G717" s="8"/>
    </row>
    <row r="718" spans="1:7" s="9" customFormat="1" ht="15" customHeight="1" x14ac:dyDescent="0.25">
      <c r="A718" s="47"/>
      <c r="B718" s="8"/>
      <c r="C718" s="8"/>
      <c r="D718" s="8"/>
      <c r="G718" s="8"/>
    </row>
    <row r="719" spans="1:7" s="9" customFormat="1" ht="15" customHeight="1" x14ac:dyDescent="0.25">
      <c r="A719" s="47"/>
      <c r="B719" s="8"/>
      <c r="C719" s="8"/>
      <c r="D719" s="8"/>
      <c r="G719" s="8"/>
    </row>
    <row r="720" spans="1:7" s="9" customFormat="1" ht="15" customHeight="1" x14ac:dyDescent="0.25">
      <c r="A720" s="47"/>
      <c r="B720" s="8"/>
      <c r="C720" s="8"/>
      <c r="D720" s="8"/>
      <c r="G720" s="8"/>
    </row>
    <row r="721" spans="1:7" s="9" customFormat="1" ht="15" customHeight="1" x14ac:dyDescent="0.25">
      <c r="A721" s="47"/>
      <c r="B721" s="8"/>
      <c r="C721" s="8"/>
      <c r="D721" s="8"/>
      <c r="G721" s="8"/>
    </row>
    <row r="722" spans="1:7" s="9" customFormat="1" ht="15" customHeight="1" x14ac:dyDescent="0.25">
      <c r="A722" s="47"/>
      <c r="B722" s="8"/>
      <c r="C722" s="8"/>
      <c r="D722" s="8"/>
      <c r="G722" s="8"/>
    </row>
    <row r="723" spans="1:7" s="9" customFormat="1" ht="15" customHeight="1" x14ac:dyDescent="0.25">
      <c r="A723" s="47"/>
      <c r="B723" s="8"/>
      <c r="C723" s="8"/>
      <c r="D723" s="8"/>
      <c r="G723" s="8"/>
    </row>
    <row r="724" spans="1:7" s="9" customFormat="1" ht="15" customHeight="1" x14ac:dyDescent="0.25">
      <c r="A724" s="47"/>
      <c r="B724" s="8"/>
      <c r="C724" s="8"/>
      <c r="D724" s="8"/>
      <c r="G724" s="8"/>
    </row>
    <row r="725" spans="1:7" s="9" customFormat="1" ht="15" customHeight="1" x14ac:dyDescent="0.25">
      <c r="A725" s="47"/>
      <c r="B725" s="8"/>
      <c r="C725" s="8"/>
      <c r="D725" s="8"/>
      <c r="G725" s="8"/>
    </row>
    <row r="726" spans="1:7" s="9" customFormat="1" ht="15" customHeight="1" x14ac:dyDescent="0.25">
      <c r="A726" s="47"/>
      <c r="B726" s="8"/>
      <c r="C726" s="8"/>
      <c r="D726" s="8"/>
      <c r="G726" s="8"/>
    </row>
    <row r="727" spans="1:7" s="9" customFormat="1" ht="15" customHeight="1" x14ac:dyDescent="0.25">
      <c r="A727" s="47"/>
      <c r="B727" s="8"/>
      <c r="C727" s="8"/>
      <c r="D727" s="8"/>
      <c r="G727" s="8"/>
    </row>
    <row r="728" spans="1:7" s="9" customFormat="1" ht="15" customHeight="1" x14ac:dyDescent="0.25">
      <c r="A728" s="47"/>
      <c r="B728" s="8"/>
      <c r="C728" s="8"/>
      <c r="D728" s="8"/>
      <c r="G728" s="8"/>
    </row>
    <row r="729" spans="1:7" s="9" customFormat="1" ht="15" customHeight="1" x14ac:dyDescent="0.25">
      <c r="A729" s="47"/>
      <c r="B729" s="8"/>
      <c r="C729" s="8"/>
      <c r="D729" s="8"/>
      <c r="G729" s="8"/>
    </row>
    <row r="730" spans="1:7" s="9" customFormat="1" ht="15" customHeight="1" x14ac:dyDescent="0.25">
      <c r="A730" s="47"/>
      <c r="B730" s="8"/>
      <c r="C730" s="8"/>
      <c r="D730" s="8"/>
      <c r="G730" s="8"/>
    </row>
    <row r="731" spans="1:7" s="9" customFormat="1" ht="15" customHeight="1" x14ac:dyDescent="0.25">
      <c r="A731" s="47"/>
      <c r="B731" s="8"/>
      <c r="C731" s="8"/>
      <c r="D731" s="8"/>
      <c r="G731" s="8"/>
    </row>
    <row r="732" spans="1:7" s="9" customFormat="1" ht="15" customHeight="1" x14ac:dyDescent="0.25">
      <c r="A732" s="47"/>
      <c r="B732" s="8"/>
      <c r="C732" s="8"/>
      <c r="D732" s="8"/>
      <c r="G732" s="8"/>
    </row>
    <row r="733" spans="1:7" s="9" customFormat="1" ht="15" customHeight="1" x14ac:dyDescent="0.25">
      <c r="A733" s="47"/>
      <c r="B733" s="8"/>
      <c r="C733" s="8"/>
      <c r="D733" s="8"/>
      <c r="G733" s="8"/>
    </row>
    <row r="734" spans="1:7" s="9" customFormat="1" ht="15" customHeight="1" x14ac:dyDescent="0.25">
      <c r="A734" s="47"/>
      <c r="B734" s="8"/>
      <c r="C734" s="8"/>
      <c r="D734" s="8"/>
      <c r="G734" s="8"/>
    </row>
    <row r="735" spans="1:7" s="9" customFormat="1" ht="15" customHeight="1" x14ac:dyDescent="0.25">
      <c r="A735" s="47"/>
      <c r="B735" s="8"/>
      <c r="C735" s="8"/>
      <c r="D735" s="8"/>
      <c r="G735" s="8"/>
    </row>
    <row r="736" spans="1:7" s="9" customFormat="1" ht="15" customHeight="1" x14ac:dyDescent="0.25">
      <c r="A736" s="47"/>
      <c r="B736" s="8"/>
      <c r="C736" s="8"/>
      <c r="D736" s="8"/>
      <c r="G736" s="8"/>
    </row>
    <row r="737" spans="1:7" s="9" customFormat="1" ht="15" customHeight="1" x14ac:dyDescent="0.25">
      <c r="A737" s="47"/>
      <c r="B737" s="8"/>
      <c r="C737" s="8"/>
      <c r="D737" s="8"/>
      <c r="G737" s="8"/>
    </row>
    <row r="738" spans="1:7" s="9" customFormat="1" ht="15" customHeight="1" x14ac:dyDescent="0.25">
      <c r="A738" s="47"/>
      <c r="B738" s="8"/>
      <c r="C738" s="8"/>
      <c r="D738" s="8"/>
      <c r="G738" s="8"/>
    </row>
    <row r="739" spans="1:7" s="9" customFormat="1" ht="15" customHeight="1" x14ac:dyDescent="0.25">
      <c r="A739" s="47"/>
      <c r="B739" s="8"/>
      <c r="C739" s="8"/>
      <c r="D739" s="8"/>
      <c r="G739" s="8"/>
    </row>
    <row r="740" spans="1:7" s="9" customFormat="1" ht="15" customHeight="1" x14ac:dyDescent="0.25">
      <c r="A740" s="47"/>
      <c r="B740" s="8"/>
      <c r="C740" s="8"/>
      <c r="D740" s="8"/>
      <c r="G740" s="8"/>
    </row>
    <row r="741" spans="1:7" s="9" customFormat="1" ht="15" customHeight="1" x14ac:dyDescent="0.25">
      <c r="A741" s="47"/>
      <c r="B741" s="8"/>
      <c r="C741" s="8"/>
      <c r="D741" s="8"/>
      <c r="G741" s="8"/>
    </row>
    <row r="742" spans="1:7" s="9" customFormat="1" ht="15" customHeight="1" x14ac:dyDescent="0.25">
      <c r="A742" s="47"/>
      <c r="B742" s="8"/>
      <c r="C742" s="8"/>
      <c r="D742" s="8"/>
      <c r="G742" s="8"/>
    </row>
    <row r="743" spans="1:7" s="9" customFormat="1" ht="15" customHeight="1" x14ac:dyDescent="0.25">
      <c r="A743" s="47"/>
      <c r="B743" s="8"/>
      <c r="C743" s="8"/>
      <c r="D743" s="8"/>
      <c r="G743" s="8"/>
    </row>
    <row r="744" spans="1:7" s="9" customFormat="1" ht="15" customHeight="1" x14ac:dyDescent="0.25">
      <c r="A744" s="47"/>
      <c r="B744" s="8"/>
      <c r="C744" s="8"/>
      <c r="D744" s="8"/>
      <c r="G744" s="8"/>
    </row>
    <row r="745" spans="1:7" s="9" customFormat="1" ht="15" customHeight="1" x14ac:dyDescent="0.25">
      <c r="A745" s="47"/>
      <c r="B745" s="8"/>
      <c r="C745" s="8"/>
      <c r="D745" s="8"/>
      <c r="G745" s="8"/>
    </row>
    <row r="746" spans="1:7" s="9" customFormat="1" ht="15" customHeight="1" x14ac:dyDescent="0.25">
      <c r="A746" s="47"/>
      <c r="B746" s="8"/>
      <c r="C746" s="8"/>
      <c r="D746" s="8"/>
      <c r="G746" s="8"/>
    </row>
    <row r="747" spans="1:7" s="9" customFormat="1" ht="15" customHeight="1" x14ac:dyDescent="0.25">
      <c r="A747" s="47"/>
      <c r="B747" s="8"/>
      <c r="C747" s="8"/>
      <c r="D747" s="8"/>
      <c r="G747" s="8"/>
    </row>
    <row r="748" spans="1:7" s="9" customFormat="1" ht="15" customHeight="1" x14ac:dyDescent="0.25">
      <c r="A748" s="47"/>
      <c r="B748" s="8"/>
      <c r="C748" s="8"/>
      <c r="D748" s="8"/>
      <c r="G748" s="8"/>
    </row>
    <row r="749" spans="1:7" s="9" customFormat="1" ht="15" customHeight="1" x14ac:dyDescent="0.25">
      <c r="A749" s="47"/>
      <c r="B749" s="8"/>
      <c r="C749" s="8"/>
      <c r="D749" s="8"/>
      <c r="G749" s="8"/>
    </row>
    <row r="750" spans="1:7" s="9" customFormat="1" ht="15" customHeight="1" x14ac:dyDescent="0.25">
      <c r="A750" s="47"/>
      <c r="B750" s="8"/>
      <c r="C750" s="8"/>
      <c r="D750" s="8"/>
      <c r="G750" s="8"/>
    </row>
    <row r="751" spans="1:7" s="9" customFormat="1" ht="15" customHeight="1" x14ac:dyDescent="0.25">
      <c r="A751" s="47"/>
      <c r="B751" s="8"/>
      <c r="C751" s="8"/>
      <c r="D751" s="8"/>
      <c r="G751" s="8"/>
    </row>
    <row r="752" spans="1:7" s="9" customFormat="1" ht="15" customHeight="1" x14ac:dyDescent="0.25">
      <c r="A752" s="47"/>
      <c r="B752" s="8"/>
      <c r="C752" s="8"/>
      <c r="D752" s="8"/>
      <c r="G752" s="8"/>
    </row>
    <row r="753" spans="1:7" s="9" customFormat="1" ht="15" customHeight="1" x14ac:dyDescent="0.25">
      <c r="A753" s="47"/>
      <c r="B753" s="8"/>
      <c r="C753" s="8"/>
      <c r="D753" s="8"/>
      <c r="G753" s="8"/>
    </row>
    <row r="754" spans="1:7" s="9" customFormat="1" ht="15" customHeight="1" x14ac:dyDescent="0.25">
      <c r="A754" s="47"/>
      <c r="B754" s="8"/>
      <c r="C754" s="8"/>
      <c r="D754" s="8"/>
      <c r="G754" s="8"/>
    </row>
    <row r="755" spans="1:7" s="9" customFormat="1" ht="15" customHeight="1" x14ac:dyDescent="0.25">
      <c r="A755" s="47"/>
      <c r="B755" s="8"/>
      <c r="C755" s="8"/>
      <c r="D755" s="8"/>
      <c r="G755" s="8"/>
    </row>
    <row r="756" spans="1:7" s="9" customFormat="1" ht="15" customHeight="1" x14ac:dyDescent="0.25">
      <c r="A756" s="47"/>
      <c r="B756" s="8"/>
      <c r="C756" s="8"/>
      <c r="D756" s="8"/>
      <c r="G756" s="8"/>
    </row>
    <row r="757" spans="1:7" s="9" customFormat="1" ht="15" customHeight="1" x14ac:dyDescent="0.25">
      <c r="A757" s="47"/>
      <c r="B757" s="8"/>
      <c r="C757" s="8"/>
      <c r="D757" s="8"/>
      <c r="G757" s="8"/>
    </row>
    <row r="758" spans="1:7" s="9" customFormat="1" ht="15" customHeight="1" x14ac:dyDescent="0.25">
      <c r="A758" s="47"/>
      <c r="B758" s="8"/>
      <c r="C758" s="8"/>
      <c r="D758" s="8"/>
      <c r="G758" s="8"/>
    </row>
    <row r="759" spans="1:7" s="9" customFormat="1" ht="15" customHeight="1" x14ac:dyDescent="0.25">
      <c r="A759" s="47"/>
      <c r="B759" s="8"/>
      <c r="C759" s="8"/>
      <c r="D759" s="8"/>
      <c r="G759" s="8"/>
    </row>
    <row r="760" spans="1:7" s="9" customFormat="1" ht="15" customHeight="1" x14ac:dyDescent="0.25">
      <c r="A760" s="47"/>
      <c r="B760" s="8"/>
      <c r="C760" s="8"/>
      <c r="D760" s="8"/>
      <c r="G760" s="8"/>
    </row>
    <row r="761" spans="1:7" s="9" customFormat="1" ht="15" customHeight="1" x14ac:dyDescent="0.25">
      <c r="A761" s="47"/>
      <c r="B761" s="8"/>
      <c r="C761" s="8"/>
      <c r="D761" s="8"/>
      <c r="G761" s="8"/>
    </row>
    <row r="762" spans="1:7" s="9" customFormat="1" ht="15" customHeight="1" x14ac:dyDescent="0.25">
      <c r="A762" s="47"/>
      <c r="B762" s="8"/>
      <c r="C762" s="8"/>
      <c r="D762" s="8"/>
      <c r="G762" s="8"/>
    </row>
    <row r="763" spans="1:7" s="9" customFormat="1" ht="15" customHeight="1" x14ac:dyDescent="0.25">
      <c r="A763" s="47"/>
      <c r="B763" s="8"/>
      <c r="C763" s="8"/>
      <c r="D763" s="8"/>
      <c r="G763" s="8"/>
    </row>
    <row r="764" spans="1:7" s="9" customFormat="1" ht="15" customHeight="1" x14ac:dyDescent="0.25">
      <c r="A764" s="47"/>
      <c r="B764" s="8"/>
      <c r="C764" s="8"/>
      <c r="D764" s="8"/>
      <c r="G764" s="8"/>
    </row>
    <row r="765" spans="1:7" s="9" customFormat="1" ht="15" customHeight="1" x14ac:dyDescent="0.25">
      <c r="A765" s="47"/>
      <c r="B765" s="8"/>
      <c r="C765" s="8"/>
      <c r="D765" s="8"/>
      <c r="G765" s="8"/>
    </row>
    <row r="766" spans="1:7" s="9" customFormat="1" ht="15" customHeight="1" x14ac:dyDescent="0.25">
      <c r="A766" s="47"/>
      <c r="B766" s="8"/>
      <c r="C766" s="8"/>
      <c r="D766" s="8"/>
      <c r="G766" s="8"/>
    </row>
    <row r="767" spans="1:7" s="9" customFormat="1" ht="15" customHeight="1" x14ac:dyDescent="0.25">
      <c r="A767" s="47"/>
      <c r="B767" s="8"/>
      <c r="C767" s="8"/>
      <c r="D767" s="8"/>
      <c r="G767" s="8"/>
    </row>
    <row r="768" spans="1:7" s="9" customFormat="1" ht="15" customHeight="1" x14ac:dyDescent="0.25">
      <c r="A768" s="47"/>
      <c r="B768" s="8"/>
      <c r="C768" s="8"/>
      <c r="D768" s="8"/>
      <c r="G768" s="8"/>
    </row>
    <row r="769" spans="1:7" s="9" customFormat="1" ht="15" customHeight="1" x14ac:dyDescent="0.25">
      <c r="A769" s="47"/>
      <c r="B769" s="8"/>
      <c r="C769" s="8"/>
      <c r="D769" s="8"/>
      <c r="G769" s="8"/>
    </row>
    <row r="770" spans="1:7" s="9" customFormat="1" ht="15" customHeight="1" x14ac:dyDescent="0.25">
      <c r="A770" s="47"/>
      <c r="B770" s="8"/>
      <c r="C770" s="8"/>
      <c r="D770" s="8"/>
      <c r="G770" s="8"/>
    </row>
    <row r="771" spans="1:7" s="9" customFormat="1" ht="15" customHeight="1" x14ac:dyDescent="0.25">
      <c r="A771" s="47"/>
      <c r="B771" s="8"/>
      <c r="C771" s="8"/>
      <c r="D771" s="8"/>
      <c r="G771" s="8"/>
    </row>
    <row r="772" spans="1:7" s="9" customFormat="1" ht="15" customHeight="1" x14ac:dyDescent="0.25">
      <c r="A772" s="47"/>
      <c r="B772" s="8"/>
      <c r="C772" s="8"/>
      <c r="D772" s="8"/>
      <c r="G772" s="8"/>
    </row>
    <row r="773" spans="1:7" s="9" customFormat="1" ht="15" customHeight="1" x14ac:dyDescent="0.25">
      <c r="A773" s="47"/>
      <c r="B773" s="8"/>
      <c r="C773" s="8"/>
      <c r="D773" s="8"/>
      <c r="G773" s="8"/>
    </row>
    <row r="774" spans="1:7" s="9" customFormat="1" ht="15" customHeight="1" x14ac:dyDescent="0.25">
      <c r="A774" s="47"/>
      <c r="B774" s="8"/>
      <c r="C774" s="8"/>
      <c r="D774" s="8"/>
      <c r="G774" s="8"/>
    </row>
    <row r="775" spans="1:7" s="9" customFormat="1" ht="15" customHeight="1" x14ac:dyDescent="0.25">
      <c r="A775" s="47"/>
      <c r="B775" s="8"/>
      <c r="C775" s="8"/>
      <c r="D775" s="8"/>
      <c r="G775" s="8"/>
    </row>
    <row r="776" spans="1:7" s="9" customFormat="1" ht="15" customHeight="1" x14ac:dyDescent="0.25">
      <c r="A776" s="47"/>
      <c r="B776" s="8"/>
      <c r="C776" s="8"/>
      <c r="D776" s="8"/>
      <c r="G776" s="8"/>
    </row>
    <row r="777" spans="1:7" s="9" customFormat="1" ht="15" customHeight="1" x14ac:dyDescent="0.25">
      <c r="A777" s="47"/>
      <c r="B777" s="8"/>
      <c r="C777" s="8"/>
      <c r="D777" s="8"/>
      <c r="G777" s="8"/>
    </row>
    <row r="778" spans="1:7" s="9" customFormat="1" ht="15" customHeight="1" x14ac:dyDescent="0.25">
      <c r="A778" s="47"/>
      <c r="B778" s="8"/>
      <c r="C778" s="8"/>
      <c r="D778" s="8"/>
      <c r="G778" s="8"/>
    </row>
    <row r="779" spans="1:7" s="9" customFormat="1" ht="15" customHeight="1" x14ac:dyDescent="0.25">
      <c r="A779" s="47"/>
      <c r="B779" s="8"/>
      <c r="C779" s="8"/>
      <c r="D779" s="8"/>
      <c r="G779" s="8"/>
    </row>
    <row r="780" spans="1:7" s="9" customFormat="1" ht="15" customHeight="1" x14ac:dyDescent="0.25">
      <c r="A780" s="47"/>
      <c r="B780" s="8"/>
      <c r="C780" s="8"/>
      <c r="D780" s="8"/>
      <c r="G780" s="8"/>
    </row>
    <row r="781" spans="1:7" s="9" customFormat="1" ht="15" customHeight="1" x14ac:dyDescent="0.25">
      <c r="A781" s="47"/>
      <c r="B781" s="8"/>
      <c r="C781" s="8"/>
      <c r="D781" s="8"/>
      <c r="G781" s="8"/>
    </row>
    <row r="782" spans="1:7" s="9" customFormat="1" ht="15" customHeight="1" x14ac:dyDescent="0.25">
      <c r="A782" s="47"/>
      <c r="B782" s="8"/>
      <c r="C782" s="8"/>
      <c r="D782" s="8"/>
      <c r="G782" s="8"/>
    </row>
    <row r="783" spans="1:7" s="9" customFormat="1" ht="15" customHeight="1" x14ac:dyDescent="0.25">
      <c r="A783" s="47"/>
      <c r="B783" s="8"/>
      <c r="C783" s="8"/>
      <c r="D783" s="8"/>
      <c r="G783" s="8"/>
    </row>
    <row r="784" spans="1:7" s="9" customFormat="1" ht="15" customHeight="1" x14ac:dyDescent="0.25">
      <c r="A784" s="47"/>
      <c r="B784" s="8"/>
      <c r="C784" s="8"/>
      <c r="D784" s="8"/>
      <c r="G784" s="8"/>
    </row>
    <row r="785" spans="1:7" s="9" customFormat="1" ht="15" customHeight="1" x14ac:dyDescent="0.25">
      <c r="A785" s="47"/>
      <c r="B785" s="8"/>
      <c r="C785" s="8"/>
      <c r="D785" s="8"/>
      <c r="G785" s="8"/>
    </row>
    <row r="786" spans="1:7" s="9" customFormat="1" ht="15" customHeight="1" x14ac:dyDescent="0.25">
      <c r="A786" s="47"/>
      <c r="B786" s="8"/>
      <c r="C786" s="8"/>
      <c r="D786" s="8"/>
      <c r="G786" s="8"/>
    </row>
    <row r="787" spans="1:7" s="9" customFormat="1" ht="15" customHeight="1" x14ac:dyDescent="0.25">
      <c r="A787" s="47"/>
      <c r="B787" s="8"/>
      <c r="C787" s="8"/>
      <c r="D787" s="8"/>
      <c r="G787" s="8"/>
    </row>
    <row r="788" spans="1:7" s="9" customFormat="1" ht="15" customHeight="1" x14ac:dyDescent="0.25">
      <c r="A788" s="47"/>
      <c r="B788" s="8"/>
      <c r="C788" s="8"/>
      <c r="D788" s="8"/>
      <c r="G788" s="8"/>
    </row>
    <row r="789" spans="1:7" s="9" customFormat="1" ht="15" customHeight="1" x14ac:dyDescent="0.25">
      <c r="A789" s="47"/>
      <c r="B789" s="8"/>
      <c r="C789" s="8"/>
      <c r="D789" s="8"/>
      <c r="G789" s="8"/>
    </row>
    <row r="790" spans="1:7" s="9" customFormat="1" ht="15" customHeight="1" x14ac:dyDescent="0.25">
      <c r="A790" s="47"/>
      <c r="B790" s="8"/>
      <c r="C790" s="8"/>
      <c r="D790" s="8"/>
      <c r="G790" s="8"/>
    </row>
    <row r="791" spans="1:7" s="9" customFormat="1" ht="15" customHeight="1" x14ac:dyDescent="0.25">
      <c r="A791" s="47"/>
      <c r="B791" s="8"/>
      <c r="C791" s="8"/>
      <c r="D791" s="8"/>
      <c r="G791" s="8"/>
    </row>
    <row r="792" spans="1:7" s="9" customFormat="1" ht="15" customHeight="1" x14ac:dyDescent="0.25">
      <c r="A792" s="47"/>
      <c r="B792" s="8"/>
      <c r="C792" s="8"/>
      <c r="D792" s="8"/>
      <c r="G792" s="8"/>
    </row>
    <row r="793" spans="1:7" s="9" customFormat="1" ht="15" customHeight="1" x14ac:dyDescent="0.25">
      <c r="A793" s="47"/>
      <c r="B793" s="8"/>
      <c r="C793" s="8"/>
      <c r="D793" s="8"/>
      <c r="G793" s="8"/>
    </row>
    <row r="794" spans="1:7" s="9" customFormat="1" ht="15" customHeight="1" x14ac:dyDescent="0.25">
      <c r="A794" s="47"/>
      <c r="B794" s="8"/>
      <c r="C794" s="8"/>
      <c r="D794" s="8"/>
      <c r="G794" s="8"/>
    </row>
    <row r="795" spans="1:7" s="9" customFormat="1" ht="15" customHeight="1" x14ac:dyDescent="0.25">
      <c r="A795" s="47"/>
      <c r="B795" s="8"/>
      <c r="C795" s="8"/>
      <c r="D795" s="8"/>
      <c r="G795" s="8"/>
    </row>
    <row r="796" spans="1:7" s="9" customFormat="1" ht="15" customHeight="1" x14ac:dyDescent="0.25">
      <c r="A796" s="47"/>
      <c r="B796" s="8"/>
      <c r="C796" s="8"/>
      <c r="D796" s="8"/>
      <c r="G796" s="8"/>
    </row>
    <row r="797" spans="1:7" s="9" customFormat="1" ht="15" customHeight="1" x14ac:dyDescent="0.25">
      <c r="A797" s="47"/>
      <c r="B797" s="8"/>
      <c r="C797" s="8"/>
      <c r="D797" s="8"/>
      <c r="G797" s="8"/>
    </row>
    <row r="798" spans="1:7" s="9" customFormat="1" ht="15" customHeight="1" x14ac:dyDescent="0.25">
      <c r="A798" s="47"/>
      <c r="B798" s="8"/>
      <c r="C798" s="8"/>
      <c r="D798" s="8"/>
      <c r="G798" s="8"/>
    </row>
    <row r="799" spans="1:7" s="9" customFormat="1" ht="15" customHeight="1" x14ac:dyDescent="0.25">
      <c r="A799" s="47"/>
      <c r="B799" s="8"/>
      <c r="C799" s="8"/>
      <c r="D799" s="8"/>
      <c r="G799" s="8"/>
    </row>
    <row r="800" spans="1:7" s="9" customFormat="1" ht="15" customHeight="1" x14ac:dyDescent="0.25">
      <c r="A800" s="47"/>
      <c r="B800" s="8"/>
      <c r="C800" s="8"/>
      <c r="D800" s="8"/>
      <c r="G800" s="8"/>
    </row>
    <row r="801" spans="1:7" s="9" customFormat="1" ht="15" customHeight="1" x14ac:dyDescent="0.25">
      <c r="A801" s="47"/>
      <c r="B801" s="8"/>
      <c r="C801" s="8"/>
      <c r="D801" s="8"/>
      <c r="G801" s="8"/>
    </row>
    <row r="802" spans="1:7" s="9" customFormat="1" ht="15" customHeight="1" x14ac:dyDescent="0.25">
      <c r="A802" s="47"/>
      <c r="B802" s="8"/>
      <c r="C802" s="8"/>
      <c r="D802" s="8"/>
      <c r="G802" s="8"/>
    </row>
    <row r="803" spans="1:7" s="9" customFormat="1" ht="15" customHeight="1" x14ac:dyDescent="0.25">
      <c r="A803" s="47"/>
      <c r="B803" s="8"/>
      <c r="C803" s="8"/>
      <c r="D803" s="8"/>
      <c r="G803" s="8"/>
    </row>
    <row r="804" spans="1:7" s="9" customFormat="1" ht="15" customHeight="1" x14ac:dyDescent="0.25">
      <c r="A804" s="47"/>
      <c r="B804" s="8"/>
      <c r="C804" s="8"/>
      <c r="D804" s="8"/>
      <c r="G804" s="8"/>
    </row>
    <row r="805" spans="1:7" s="9" customFormat="1" ht="15" customHeight="1" x14ac:dyDescent="0.25">
      <c r="A805" s="47"/>
      <c r="B805" s="8"/>
      <c r="C805" s="8"/>
      <c r="D805" s="8"/>
      <c r="G805" s="8"/>
    </row>
    <row r="806" spans="1:7" s="9" customFormat="1" ht="15" customHeight="1" x14ac:dyDescent="0.25">
      <c r="A806" s="47"/>
      <c r="B806" s="8"/>
      <c r="C806" s="8"/>
      <c r="D806" s="8"/>
      <c r="G806" s="8"/>
    </row>
    <row r="807" spans="1:7" s="9" customFormat="1" ht="15" customHeight="1" x14ac:dyDescent="0.25">
      <c r="A807" s="47"/>
      <c r="B807" s="8"/>
      <c r="C807" s="8"/>
      <c r="D807" s="8"/>
      <c r="G807" s="8"/>
    </row>
    <row r="808" spans="1:7" s="9" customFormat="1" ht="15" customHeight="1" x14ac:dyDescent="0.25">
      <c r="A808" s="47"/>
      <c r="B808" s="8"/>
      <c r="C808" s="8"/>
      <c r="D808" s="8"/>
      <c r="G808" s="8"/>
    </row>
    <row r="809" spans="1:7" s="9" customFormat="1" ht="15" customHeight="1" x14ac:dyDescent="0.25">
      <c r="A809" s="47"/>
      <c r="B809" s="8"/>
      <c r="C809" s="8"/>
      <c r="D809" s="8"/>
      <c r="G809" s="8"/>
    </row>
    <row r="810" spans="1:7" s="9" customFormat="1" ht="15" customHeight="1" x14ac:dyDescent="0.25">
      <c r="A810" s="47"/>
      <c r="B810" s="8"/>
      <c r="C810" s="8"/>
      <c r="D810" s="8"/>
      <c r="G810" s="8"/>
    </row>
    <row r="811" spans="1:7" s="9" customFormat="1" ht="15" customHeight="1" x14ac:dyDescent="0.25">
      <c r="A811" s="47"/>
      <c r="B811" s="8"/>
      <c r="C811" s="8"/>
      <c r="D811" s="8"/>
      <c r="G811" s="8"/>
    </row>
    <row r="812" spans="1:7" s="9" customFormat="1" ht="15" customHeight="1" x14ac:dyDescent="0.25">
      <c r="A812" s="47"/>
      <c r="B812" s="8"/>
      <c r="C812" s="8"/>
      <c r="D812" s="8"/>
      <c r="G812" s="8"/>
    </row>
    <row r="813" spans="1:7" s="9" customFormat="1" ht="15" customHeight="1" x14ac:dyDescent="0.25">
      <c r="A813" s="47"/>
      <c r="B813" s="8"/>
      <c r="C813" s="8"/>
      <c r="D813" s="8"/>
      <c r="G813" s="8"/>
    </row>
    <row r="814" spans="1:7" s="9" customFormat="1" ht="15" customHeight="1" x14ac:dyDescent="0.25">
      <c r="A814" s="47"/>
      <c r="B814" s="8"/>
      <c r="C814" s="8"/>
      <c r="D814" s="8"/>
      <c r="G814" s="8"/>
    </row>
    <row r="815" spans="1:7" s="9" customFormat="1" ht="15" customHeight="1" x14ac:dyDescent="0.25">
      <c r="A815" s="47"/>
      <c r="B815" s="8"/>
      <c r="C815" s="8"/>
      <c r="D815" s="8"/>
      <c r="G815" s="8"/>
    </row>
    <row r="816" spans="1:7" s="9" customFormat="1" ht="15" customHeight="1" x14ac:dyDescent="0.25">
      <c r="A816" s="47"/>
      <c r="B816" s="8"/>
      <c r="C816" s="8"/>
      <c r="D816" s="8"/>
      <c r="G816" s="8"/>
    </row>
    <row r="817" spans="1:7" s="9" customFormat="1" ht="15" customHeight="1" x14ac:dyDescent="0.25">
      <c r="A817" s="47"/>
      <c r="B817" s="8"/>
      <c r="C817" s="8"/>
      <c r="D817" s="8"/>
      <c r="G817" s="8"/>
    </row>
    <row r="818" spans="1:7" s="9" customFormat="1" ht="15" customHeight="1" x14ac:dyDescent="0.25">
      <c r="A818" s="47"/>
      <c r="B818" s="8"/>
      <c r="C818" s="8"/>
      <c r="D818" s="8"/>
      <c r="G818" s="8"/>
    </row>
    <row r="819" spans="1:7" s="9" customFormat="1" ht="15" customHeight="1" x14ac:dyDescent="0.25">
      <c r="A819" s="47"/>
      <c r="B819" s="8"/>
      <c r="C819" s="8"/>
      <c r="D819" s="8"/>
      <c r="G819" s="8"/>
    </row>
    <row r="820" spans="1:7" s="9" customFormat="1" ht="15" customHeight="1" x14ac:dyDescent="0.25">
      <c r="A820" s="47"/>
      <c r="B820" s="8"/>
      <c r="C820" s="8"/>
      <c r="D820" s="8"/>
      <c r="G820" s="8"/>
    </row>
    <row r="821" spans="1:7" s="9" customFormat="1" ht="15" customHeight="1" x14ac:dyDescent="0.25">
      <c r="A821" s="47"/>
      <c r="B821" s="8"/>
      <c r="C821" s="8"/>
      <c r="D821" s="8"/>
      <c r="G821" s="8"/>
    </row>
    <row r="822" spans="1:7" s="9" customFormat="1" ht="15" customHeight="1" x14ac:dyDescent="0.25">
      <c r="A822" s="47"/>
      <c r="B822" s="8"/>
      <c r="C822" s="8"/>
      <c r="D822" s="8"/>
      <c r="G822" s="8"/>
    </row>
    <row r="823" spans="1:7" s="9" customFormat="1" ht="15" customHeight="1" x14ac:dyDescent="0.25">
      <c r="A823" s="47"/>
      <c r="B823" s="8"/>
      <c r="C823" s="8"/>
      <c r="D823" s="8"/>
      <c r="G823" s="8"/>
    </row>
    <row r="824" spans="1:7" s="9" customFormat="1" ht="15" customHeight="1" x14ac:dyDescent="0.25">
      <c r="A824" s="47"/>
      <c r="B824" s="8"/>
      <c r="C824" s="8"/>
      <c r="D824" s="8"/>
      <c r="G824" s="8"/>
    </row>
    <row r="825" spans="1:7" s="9" customFormat="1" ht="15" customHeight="1" x14ac:dyDescent="0.25">
      <c r="A825" s="47"/>
      <c r="B825" s="8"/>
      <c r="C825" s="8"/>
      <c r="D825" s="8"/>
      <c r="G825" s="8"/>
    </row>
    <row r="826" spans="1:7" s="9" customFormat="1" ht="15" customHeight="1" x14ac:dyDescent="0.25">
      <c r="A826" s="47"/>
      <c r="B826" s="8"/>
      <c r="C826" s="8"/>
      <c r="D826" s="8"/>
      <c r="G826" s="8"/>
    </row>
    <row r="827" spans="1:7" s="9" customFormat="1" ht="15" customHeight="1" x14ac:dyDescent="0.25">
      <c r="A827" s="47"/>
      <c r="B827" s="8"/>
      <c r="C827" s="8"/>
      <c r="D827" s="8"/>
      <c r="G827" s="8"/>
    </row>
    <row r="828" spans="1:7" s="9" customFormat="1" ht="15" customHeight="1" x14ac:dyDescent="0.25">
      <c r="A828" s="47"/>
      <c r="B828" s="8"/>
      <c r="C828" s="8"/>
      <c r="D828" s="8"/>
      <c r="G828" s="8"/>
    </row>
    <row r="829" spans="1:7" s="9" customFormat="1" ht="15" customHeight="1" x14ac:dyDescent="0.25">
      <c r="A829" s="47"/>
      <c r="B829" s="8"/>
      <c r="C829" s="8"/>
      <c r="D829" s="8"/>
      <c r="G829" s="8"/>
    </row>
    <row r="830" spans="1:7" s="9" customFormat="1" ht="15" customHeight="1" x14ac:dyDescent="0.25">
      <c r="A830" s="47"/>
      <c r="B830" s="8"/>
      <c r="C830" s="8"/>
      <c r="D830" s="8"/>
      <c r="G830" s="8"/>
    </row>
    <row r="831" spans="1:7" s="9" customFormat="1" ht="15" customHeight="1" x14ac:dyDescent="0.25">
      <c r="A831" s="47"/>
      <c r="B831" s="8"/>
      <c r="C831" s="8"/>
      <c r="D831" s="8"/>
      <c r="G831" s="8"/>
    </row>
    <row r="832" spans="1:7" s="9" customFormat="1" ht="15" customHeight="1" x14ac:dyDescent="0.25">
      <c r="A832" s="47"/>
      <c r="B832" s="8"/>
      <c r="C832" s="8"/>
      <c r="D832" s="8"/>
      <c r="G832" s="8"/>
    </row>
    <row r="833" spans="1:7" s="9" customFormat="1" ht="15" customHeight="1" x14ac:dyDescent="0.25">
      <c r="A833" s="47"/>
      <c r="B833" s="8"/>
      <c r="C833" s="8"/>
      <c r="D833" s="8"/>
      <c r="G833" s="8"/>
    </row>
    <row r="834" spans="1:7" s="9" customFormat="1" ht="15" customHeight="1" x14ac:dyDescent="0.25">
      <c r="A834" s="47"/>
      <c r="B834" s="8"/>
      <c r="C834" s="8"/>
      <c r="D834" s="8"/>
      <c r="G834" s="8"/>
    </row>
    <row r="835" spans="1:7" s="9" customFormat="1" ht="15" customHeight="1" x14ac:dyDescent="0.25">
      <c r="A835" s="47"/>
      <c r="B835" s="8"/>
      <c r="C835" s="8"/>
      <c r="D835" s="8"/>
      <c r="G835" s="8"/>
    </row>
    <row r="836" spans="1:7" s="9" customFormat="1" ht="15" customHeight="1" x14ac:dyDescent="0.25">
      <c r="A836" s="47"/>
      <c r="B836" s="8"/>
      <c r="C836" s="8"/>
      <c r="D836" s="8"/>
      <c r="G836" s="8"/>
    </row>
    <row r="837" spans="1:7" s="9" customFormat="1" ht="15" customHeight="1" x14ac:dyDescent="0.25">
      <c r="A837" s="47"/>
      <c r="B837" s="8"/>
      <c r="C837" s="8"/>
      <c r="D837" s="8"/>
      <c r="G837" s="8"/>
    </row>
    <row r="838" spans="1:7" s="9" customFormat="1" ht="15" customHeight="1" x14ac:dyDescent="0.25">
      <c r="A838" s="47"/>
      <c r="B838" s="8"/>
      <c r="C838" s="8"/>
      <c r="D838" s="8"/>
      <c r="G838" s="8"/>
    </row>
    <row r="839" spans="1:7" s="9" customFormat="1" ht="15" customHeight="1" x14ac:dyDescent="0.25">
      <c r="A839" s="47"/>
      <c r="B839" s="8"/>
      <c r="C839" s="8"/>
      <c r="D839" s="8"/>
      <c r="G839" s="8"/>
    </row>
    <row r="840" spans="1:7" s="9" customFormat="1" ht="15" customHeight="1" x14ac:dyDescent="0.25">
      <c r="A840" s="47"/>
      <c r="B840" s="8"/>
      <c r="C840" s="8"/>
      <c r="D840" s="8"/>
      <c r="G840" s="8"/>
    </row>
    <row r="841" spans="1:7" s="9" customFormat="1" ht="15" customHeight="1" x14ac:dyDescent="0.25">
      <c r="A841" s="47"/>
      <c r="B841" s="8"/>
      <c r="C841" s="8"/>
      <c r="D841" s="8"/>
      <c r="G841" s="8"/>
    </row>
    <row r="842" spans="1:7" s="9" customFormat="1" ht="15" customHeight="1" x14ac:dyDescent="0.25">
      <c r="A842" s="47"/>
      <c r="B842" s="8"/>
      <c r="C842" s="8"/>
      <c r="D842" s="8"/>
      <c r="G842" s="8"/>
    </row>
    <row r="843" spans="1:7" s="9" customFormat="1" ht="15" customHeight="1" x14ac:dyDescent="0.25">
      <c r="A843" s="47"/>
      <c r="B843" s="8"/>
      <c r="C843" s="8"/>
      <c r="D843" s="8"/>
      <c r="G843" s="8"/>
    </row>
    <row r="844" spans="1:7" s="9" customFormat="1" ht="15" customHeight="1" x14ac:dyDescent="0.25">
      <c r="A844" s="47"/>
      <c r="B844" s="8"/>
      <c r="C844" s="8"/>
      <c r="D844" s="8"/>
      <c r="G844" s="8"/>
    </row>
    <row r="845" spans="1:7" s="9" customFormat="1" ht="15" customHeight="1" x14ac:dyDescent="0.25">
      <c r="A845" s="47"/>
      <c r="B845" s="8"/>
      <c r="C845" s="8"/>
      <c r="D845" s="8"/>
      <c r="G845" s="8"/>
    </row>
    <row r="846" spans="1:7" s="9" customFormat="1" ht="15" customHeight="1" x14ac:dyDescent="0.25">
      <c r="A846" s="47"/>
      <c r="B846" s="8"/>
      <c r="C846" s="8"/>
      <c r="D846" s="8"/>
      <c r="G846" s="8"/>
    </row>
    <row r="847" spans="1:7" s="9" customFormat="1" ht="15" customHeight="1" x14ac:dyDescent="0.25">
      <c r="A847" s="47"/>
      <c r="B847" s="8"/>
      <c r="C847" s="8"/>
      <c r="D847" s="8"/>
      <c r="G847" s="8"/>
    </row>
    <row r="848" spans="1:7" s="9" customFormat="1" ht="15" customHeight="1" x14ac:dyDescent="0.25">
      <c r="A848" s="47"/>
      <c r="B848" s="8"/>
      <c r="C848" s="8"/>
      <c r="D848" s="8"/>
      <c r="G848" s="8"/>
    </row>
    <row r="849" spans="1:7" s="9" customFormat="1" ht="15" customHeight="1" x14ac:dyDescent="0.25">
      <c r="A849" s="47"/>
      <c r="B849" s="8"/>
      <c r="C849" s="8"/>
      <c r="D849" s="8"/>
      <c r="G849" s="8"/>
    </row>
    <row r="850" spans="1:7" s="9" customFormat="1" ht="15" customHeight="1" x14ac:dyDescent="0.25">
      <c r="A850" s="47"/>
      <c r="B850" s="8"/>
      <c r="C850" s="8"/>
      <c r="D850" s="8"/>
      <c r="G850" s="8"/>
    </row>
    <row r="851" spans="1:7" s="9" customFormat="1" ht="15" customHeight="1" x14ac:dyDescent="0.25">
      <c r="A851" s="47"/>
      <c r="B851" s="8"/>
      <c r="C851" s="8"/>
      <c r="D851" s="8"/>
      <c r="G851" s="8"/>
    </row>
    <row r="852" spans="1:7" s="9" customFormat="1" ht="15" customHeight="1" x14ac:dyDescent="0.25">
      <c r="A852" s="47"/>
      <c r="B852" s="8"/>
      <c r="C852" s="8"/>
      <c r="D852" s="8"/>
      <c r="G852" s="8"/>
    </row>
    <row r="853" spans="1:7" s="9" customFormat="1" ht="15" customHeight="1" x14ac:dyDescent="0.25">
      <c r="A853" s="47"/>
      <c r="B853" s="8"/>
      <c r="C853" s="8"/>
      <c r="D853" s="8"/>
      <c r="G853" s="8"/>
    </row>
    <row r="854" spans="1:7" s="9" customFormat="1" ht="15" customHeight="1" x14ac:dyDescent="0.25">
      <c r="A854" s="47"/>
      <c r="B854" s="8"/>
      <c r="C854" s="8"/>
      <c r="D854" s="8"/>
      <c r="G854" s="8"/>
    </row>
    <row r="855" spans="1:7" s="9" customFormat="1" ht="15" customHeight="1" x14ac:dyDescent="0.25">
      <c r="A855" s="47"/>
      <c r="B855" s="8"/>
      <c r="C855" s="8"/>
      <c r="D855" s="8"/>
      <c r="G855" s="8"/>
    </row>
    <row r="856" spans="1:7" s="9" customFormat="1" ht="15" customHeight="1" x14ac:dyDescent="0.25">
      <c r="A856" s="47"/>
      <c r="B856" s="8"/>
      <c r="C856" s="8"/>
      <c r="D856" s="8"/>
      <c r="G856" s="8"/>
    </row>
    <row r="857" spans="1:7" s="9" customFormat="1" ht="15" customHeight="1" x14ac:dyDescent="0.25">
      <c r="A857" s="47"/>
      <c r="B857" s="8"/>
      <c r="C857" s="8"/>
      <c r="D857" s="8"/>
      <c r="G857" s="8"/>
    </row>
    <row r="858" spans="1:7" s="9" customFormat="1" ht="15" customHeight="1" x14ac:dyDescent="0.25">
      <c r="A858" s="47"/>
      <c r="B858" s="8"/>
      <c r="C858" s="8"/>
      <c r="D858" s="8"/>
      <c r="G858" s="8"/>
    </row>
    <row r="859" spans="1:7" s="9" customFormat="1" ht="15" customHeight="1" x14ac:dyDescent="0.25">
      <c r="A859" s="47"/>
      <c r="B859" s="8"/>
      <c r="C859" s="8"/>
      <c r="D859" s="8"/>
      <c r="G859" s="8"/>
    </row>
    <row r="860" spans="1:7" s="9" customFormat="1" ht="15" customHeight="1" x14ac:dyDescent="0.25">
      <c r="A860" s="47"/>
      <c r="B860" s="8"/>
      <c r="C860" s="8"/>
      <c r="D860" s="8"/>
      <c r="G860" s="8"/>
    </row>
    <row r="861" spans="1:7" s="9" customFormat="1" ht="15" customHeight="1" x14ac:dyDescent="0.25">
      <c r="A861" s="47"/>
      <c r="B861" s="8"/>
      <c r="C861" s="8"/>
      <c r="D861" s="8"/>
      <c r="G861" s="8"/>
    </row>
    <row r="862" spans="1:7" s="9" customFormat="1" ht="15" customHeight="1" x14ac:dyDescent="0.25">
      <c r="A862" s="47"/>
      <c r="B862" s="8"/>
      <c r="C862" s="8"/>
      <c r="D862" s="8"/>
      <c r="G862" s="8"/>
    </row>
    <row r="863" spans="1:7" s="9" customFormat="1" ht="15" customHeight="1" x14ac:dyDescent="0.25">
      <c r="A863" s="47"/>
      <c r="B863" s="8"/>
      <c r="C863" s="8"/>
      <c r="D863" s="8"/>
      <c r="G863" s="8"/>
    </row>
    <row r="864" spans="1:7" s="9" customFormat="1" ht="15" customHeight="1" x14ac:dyDescent="0.25">
      <c r="A864" s="47"/>
      <c r="B864" s="8"/>
      <c r="C864" s="8"/>
      <c r="D864" s="8"/>
      <c r="G864" s="8"/>
    </row>
    <row r="865" spans="1:7" s="9" customFormat="1" ht="15" customHeight="1" x14ac:dyDescent="0.25">
      <c r="A865" s="47"/>
      <c r="B865" s="8"/>
      <c r="C865" s="8"/>
      <c r="D865" s="8"/>
      <c r="G865" s="8"/>
    </row>
    <row r="866" spans="1:7" s="9" customFormat="1" ht="15" customHeight="1" x14ac:dyDescent="0.25">
      <c r="A866" s="47"/>
      <c r="B866" s="8"/>
      <c r="C866" s="8"/>
      <c r="D866" s="8"/>
      <c r="G866" s="8"/>
    </row>
    <row r="867" spans="1:7" s="9" customFormat="1" ht="15" customHeight="1" x14ac:dyDescent="0.25">
      <c r="A867" s="47"/>
      <c r="B867" s="8"/>
      <c r="C867" s="8"/>
      <c r="D867" s="8"/>
      <c r="G867" s="8"/>
    </row>
    <row r="868" spans="1:7" s="9" customFormat="1" ht="15" customHeight="1" x14ac:dyDescent="0.25">
      <c r="A868" s="47"/>
      <c r="B868" s="8"/>
      <c r="C868" s="8"/>
      <c r="D868" s="8"/>
      <c r="G868" s="8"/>
    </row>
    <row r="869" spans="1:7" s="9" customFormat="1" ht="15" customHeight="1" x14ac:dyDescent="0.25">
      <c r="A869" s="47"/>
      <c r="B869" s="8"/>
      <c r="C869" s="8"/>
      <c r="D869" s="8"/>
      <c r="G869" s="8"/>
    </row>
    <row r="870" spans="1:7" s="9" customFormat="1" ht="15" customHeight="1" x14ac:dyDescent="0.25">
      <c r="A870" s="47"/>
      <c r="B870" s="8"/>
      <c r="C870" s="8"/>
      <c r="D870" s="8"/>
      <c r="G870" s="8"/>
    </row>
    <row r="871" spans="1:7" s="9" customFormat="1" ht="15" customHeight="1" x14ac:dyDescent="0.25">
      <c r="A871" s="47"/>
      <c r="B871" s="8"/>
      <c r="C871" s="8"/>
      <c r="D871" s="8"/>
      <c r="G871" s="8"/>
    </row>
    <row r="872" spans="1:7" s="9" customFormat="1" ht="15" customHeight="1" x14ac:dyDescent="0.25">
      <c r="A872" s="47"/>
      <c r="B872" s="8"/>
      <c r="C872" s="8"/>
      <c r="D872" s="8"/>
      <c r="G872" s="8"/>
    </row>
    <row r="873" spans="1:7" s="9" customFormat="1" ht="15" customHeight="1" x14ac:dyDescent="0.25">
      <c r="A873" s="47"/>
      <c r="B873" s="8"/>
      <c r="C873" s="8"/>
      <c r="D873" s="8"/>
      <c r="G873" s="8"/>
    </row>
    <row r="874" spans="1:7" s="9" customFormat="1" ht="15" customHeight="1" x14ac:dyDescent="0.25">
      <c r="A874" s="47"/>
      <c r="B874" s="8"/>
      <c r="C874" s="8"/>
      <c r="D874" s="8"/>
      <c r="G874" s="8"/>
    </row>
    <row r="875" spans="1:7" s="9" customFormat="1" ht="15" customHeight="1" x14ac:dyDescent="0.25">
      <c r="A875" s="47"/>
      <c r="B875" s="8"/>
      <c r="C875" s="8"/>
      <c r="D875" s="8"/>
      <c r="G875" s="8"/>
    </row>
    <row r="876" spans="1:7" s="9" customFormat="1" ht="15" customHeight="1" x14ac:dyDescent="0.25">
      <c r="A876" s="47"/>
      <c r="B876" s="8"/>
      <c r="C876" s="8"/>
      <c r="D876" s="8"/>
      <c r="G876" s="8"/>
    </row>
    <row r="877" spans="1:7" s="9" customFormat="1" ht="15" customHeight="1" x14ac:dyDescent="0.25">
      <c r="A877" s="47"/>
      <c r="B877" s="8"/>
      <c r="C877" s="8"/>
      <c r="D877" s="8"/>
      <c r="G877" s="8"/>
    </row>
    <row r="878" spans="1:7" s="9" customFormat="1" ht="15" customHeight="1" x14ac:dyDescent="0.25">
      <c r="A878" s="47"/>
      <c r="B878" s="8"/>
      <c r="C878" s="8"/>
      <c r="D878" s="8"/>
      <c r="G878" s="8"/>
    </row>
    <row r="879" spans="1:7" s="9" customFormat="1" ht="15" customHeight="1" x14ac:dyDescent="0.25">
      <c r="A879" s="47"/>
      <c r="B879" s="8"/>
      <c r="C879" s="8"/>
      <c r="D879" s="8"/>
      <c r="G879" s="8"/>
    </row>
    <row r="880" spans="1:7" s="9" customFormat="1" ht="15" customHeight="1" x14ac:dyDescent="0.25">
      <c r="A880" s="47"/>
      <c r="B880" s="8"/>
      <c r="C880" s="8"/>
      <c r="D880" s="8"/>
      <c r="G880" s="8"/>
    </row>
    <row r="881" spans="1:7" s="9" customFormat="1" ht="15" customHeight="1" x14ac:dyDescent="0.25">
      <c r="A881" s="47"/>
      <c r="B881" s="8"/>
      <c r="C881" s="8"/>
      <c r="D881" s="8"/>
      <c r="G881" s="8"/>
    </row>
    <row r="882" spans="1:7" s="9" customFormat="1" ht="15" customHeight="1" x14ac:dyDescent="0.25">
      <c r="A882" s="47"/>
      <c r="B882" s="8"/>
      <c r="C882" s="8"/>
      <c r="D882" s="8"/>
      <c r="G882" s="8"/>
    </row>
    <row r="883" spans="1:7" s="9" customFormat="1" ht="15" customHeight="1" x14ac:dyDescent="0.25">
      <c r="A883" s="47"/>
      <c r="B883" s="8"/>
      <c r="C883" s="8"/>
      <c r="D883" s="8"/>
      <c r="G883" s="8"/>
    </row>
    <row r="884" spans="1:7" s="9" customFormat="1" ht="15" customHeight="1" x14ac:dyDescent="0.25">
      <c r="A884" s="47"/>
      <c r="B884" s="8"/>
      <c r="C884" s="8"/>
      <c r="D884" s="8"/>
      <c r="G884" s="8"/>
    </row>
    <row r="885" spans="1:7" s="9" customFormat="1" ht="15" customHeight="1" x14ac:dyDescent="0.25">
      <c r="A885" s="47"/>
      <c r="B885" s="8"/>
      <c r="C885" s="8"/>
      <c r="D885" s="8"/>
      <c r="G885" s="8"/>
    </row>
    <row r="886" spans="1:7" s="9" customFormat="1" ht="15" customHeight="1" x14ac:dyDescent="0.25">
      <c r="A886" s="47"/>
      <c r="B886" s="8"/>
      <c r="C886" s="8"/>
      <c r="D886" s="8"/>
      <c r="G886" s="8"/>
    </row>
    <row r="887" spans="1:7" s="9" customFormat="1" ht="15" customHeight="1" x14ac:dyDescent="0.25">
      <c r="A887" s="47"/>
      <c r="B887" s="8"/>
      <c r="C887" s="8"/>
      <c r="D887" s="8"/>
      <c r="G887" s="8"/>
    </row>
    <row r="888" spans="1:7" s="9" customFormat="1" ht="15" customHeight="1" x14ac:dyDescent="0.25">
      <c r="A888" s="47"/>
      <c r="B888" s="8"/>
      <c r="C888" s="8"/>
      <c r="D888" s="8"/>
      <c r="G888" s="8"/>
    </row>
    <row r="889" spans="1:7" s="9" customFormat="1" ht="15" customHeight="1" x14ac:dyDescent="0.25">
      <c r="A889" s="47"/>
      <c r="B889" s="8"/>
      <c r="C889" s="8"/>
      <c r="D889" s="8"/>
      <c r="G889" s="8"/>
    </row>
    <row r="890" spans="1:7" s="9" customFormat="1" ht="15" customHeight="1" x14ac:dyDescent="0.25">
      <c r="A890" s="47"/>
      <c r="B890" s="8"/>
      <c r="C890" s="8"/>
      <c r="D890" s="8"/>
      <c r="G890" s="8"/>
    </row>
    <row r="891" spans="1:7" s="9" customFormat="1" ht="15" customHeight="1" x14ac:dyDescent="0.25">
      <c r="A891" s="47"/>
      <c r="B891" s="8"/>
      <c r="C891" s="8"/>
      <c r="D891" s="8"/>
      <c r="G891" s="8"/>
    </row>
    <row r="892" spans="1:7" s="9" customFormat="1" ht="15" customHeight="1" x14ac:dyDescent="0.25">
      <c r="A892" s="47"/>
      <c r="B892" s="8"/>
      <c r="C892" s="8"/>
      <c r="D892" s="8"/>
      <c r="G892" s="8"/>
    </row>
    <row r="893" spans="1:7" s="9" customFormat="1" ht="15" customHeight="1" x14ac:dyDescent="0.25">
      <c r="A893" s="47"/>
      <c r="B893" s="8"/>
      <c r="C893" s="8"/>
      <c r="D893" s="8"/>
      <c r="G893" s="8"/>
    </row>
    <row r="894" spans="1:7" s="9" customFormat="1" ht="15" customHeight="1" x14ac:dyDescent="0.25">
      <c r="A894" s="47"/>
      <c r="B894" s="8"/>
      <c r="C894" s="8"/>
      <c r="D894" s="8"/>
      <c r="G894" s="8"/>
    </row>
    <row r="895" spans="1:7" s="9" customFormat="1" ht="15" customHeight="1" x14ac:dyDescent="0.25">
      <c r="A895" s="47"/>
      <c r="B895" s="8"/>
      <c r="C895" s="8"/>
      <c r="D895" s="8"/>
      <c r="G895" s="8"/>
    </row>
    <row r="896" spans="1:7" s="9" customFormat="1" ht="15" customHeight="1" x14ac:dyDescent="0.25">
      <c r="A896" s="47"/>
      <c r="B896" s="8"/>
      <c r="C896" s="8"/>
      <c r="D896" s="8"/>
      <c r="G896" s="8"/>
    </row>
    <row r="897" spans="1:7" s="9" customFormat="1" ht="15" customHeight="1" x14ac:dyDescent="0.25">
      <c r="A897" s="47"/>
      <c r="B897" s="8"/>
      <c r="C897" s="8"/>
      <c r="D897" s="8"/>
      <c r="G897" s="8"/>
    </row>
    <row r="898" spans="1:7" s="9" customFormat="1" ht="15" customHeight="1" x14ac:dyDescent="0.25">
      <c r="A898" s="47"/>
      <c r="B898" s="8"/>
      <c r="C898" s="8"/>
      <c r="D898" s="8"/>
      <c r="G898" s="8"/>
    </row>
    <row r="899" spans="1:7" s="9" customFormat="1" ht="15" customHeight="1" x14ac:dyDescent="0.25">
      <c r="A899" s="47"/>
      <c r="B899" s="8"/>
      <c r="C899" s="8"/>
      <c r="D899" s="8"/>
      <c r="G899" s="8"/>
    </row>
    <row r="900" spans="1:7" s="9" customFormat="1" ht="15" customHeight="1" x14ac:dyDescent="0.25">
      <c r="A900" s="47"/>
      <c r="B900" s="8"/>
      <c r="C900" s="8"/>
      <c r="D900" s="8"/>
      <c r="G900" s="8"/>
    </row>
    <row r="901" spans="1:7" s="9" customFormat="1" ht="15" customHeight="1" x14ac:dyDescent="0.25">
      <c r="A901" s="47"/>
      <c r="B901" s="8"/>
      <c r="C901" s="8"/>
      <c r="D901" s="8"/>
      <c r="G901" s="8"/>
    </row>
    <row r="902" spans="1:7" s="9" customFormat="1" ht="15" customHeight="1" x14ac:dyDescent="0.25">
      <c r="A902" s="47"/>
      <c r="B902" s="8"/>
      <c r="C902" s="8"/>
      <c r="D902" s="8"/>
      <c r="G902" s="8"/>
    </row>
    <row r="903" spans="1:7" s="9" customFormat="1" ht="15" customHeight="1" x14ac:dyDescent="0.25">
      <c r="A903" s="47"/>
      <c r="B903" s="8"/>
      <c r="C903" s="8"/>
      <c r="D903" s="8"/>
      <c r="G903" s="8"/>
    </row>
    <row r="904" spans="1:7" s="9" customFormat="1" ht="15" customHeight="1" x14ac:dyDescent="0.25">
      <c r="A904" s="47"/>
      <c r="B904" s="8"/>
      <c r="C904" s="8"/>
      <c r="D904" s="8"/>
      <c r="G904" s="8"/>
    </row>
    <row r="905" spans="1:7" s="9" customFormat="1" ht="15" customHeight="1" x14ac:dyDescent="0.25">
      <c r="A905" s="47"/>
      <c r="B905" s="8"/>
      <c r="C905" s="8"/>
      <c r="D905" s="8"/>
      <c r="G905" s="8"/>
    </row>
    <row r="906" spans="1:7" s="9" customFormat="1" ht="15" customHeight="1" x14ac:dyDescent="0.25">
      <c r="A906" s="47"/>
      <c r="B906" s="8"/>
      <c r="C906" s="8"/>
      <c r="D906" s="8"/>
      <c r="G906" s="8"/>
    </row>
    <row r="907" spans="1:7" s="9" customFormat="1" ht="15" customHeight="1" x14ac:dyDescent="0.25">
      <c r="A907" s="47"/>
      <c r="B907" s="8"/>
      <c r="C907" s="8"/>
      <c r="D907" s="8"/>
      <c r="G907" s="8"/>
    </row>
    <row r="908" spans="1:7" s="9" customFormat="1" ht="15" customHeight="1" x14ac:dyDescent="0.25">
      <c r="A908" s="47"/>
      <c r="B908" s="8"/>
      <c r="C908" s="8"/>
      <c r="D908" s="8"/>
      <c r="G908" s="8"/>
    </row>
    <row r="909" spans="1:7" s="9" customFormat="1" ht="15" customHeight="1" x14ac:dyDescent="0.25">
      <c r="A909" s="47"/>
      <c r="B909" s="8"/>
      <c r="C909" s="8"/>
      <c r="D909" s="8"/>
      <c r="G909" s="8"/>
    </row>
    <row r="910" spans="1:7" s="9" customFormat="1" ht="15" customHeight="1" x14ac:dyDescent="0.25">
      <c r="A910" s="47"/>
      <c r="B910" s="8"/>
      <c r="C910" s="8"/>
      <c r="D910" s="8"/>
      <c r="G910" s="8"/>
    </row>
    <row r="911" spans="1:7" s="9" customFormat="1" ht="15" customHeight="1" x14ac:dyDescent="0.25">
      <c r="A911" s="47"/>
      <c r="B911" s="8"/>
      <c r="C911" s="8"/>
      <c r="D911" s="8"/>
      <c r="G911" s="8"/>
    </row>
    <row r="912" spans="1:7" s="9" customFormat="1" ht="15" customHeight="1" x14ac:dyDescent="0.25">
      <c r="A912" s="47"/>
      <c r="B912" s="8"/>
      <c r="C912" s="8"/>
      <c r="D912" s="8"/>
      <c r="G912" s="8"/>
    </row>
    <row r="913" spans="1:7" s="9" customFormat="1" ht="15" customHeight="1" x14ac:dyDescent="0.25">
      <c r="A913" s="47"/>
      <c r="B913" s="8"/>
      <c r="C913" s="8"/>
      <c r="D913" s="8"/>
      <c r="G913" s="8"/>
    </row>
    <row r="914" spans="1:7" s="9" customFormat="1" ht="15" customHeight="1" x14ac:dyDescent="0.25">
      <c r="A914" s="47"/>
      <c r="B914" s="8"/>
      <c r="C914" s="8"/>
      <c r="D914" s="8"/>
      <c r="G914" s="8"/>
    </row>
    <row r="915" spans="1:7" s="9" customFormat="1" ht="15" customHeight="1" x14ac:dyDescent="0.25">
      <c r="A915" s="47"/>
      <c r="B915" s="8"/>
      <c r="C915" s="8"/>
      <c r="D915" s="8"/>
      <c r="G915" s="8"/>
    </row>
    <row r="916" spans="1:7" s="9" customFormat="1" ht="15" customHeight="1" x14ac:dyDescent="0.25">
      <c r="A916" s="47"/>
      <c r="B916" s="8"/>
      <c r="C916" s="8"/>
      <c r="D916" s="8"/>
      <c r="G916" s="8"/>
    </row>
    <row r="917" spans="1:7" s="9" customFormat="1" ht="15" customHeight="1" x14ac:dyDescent="0.25">
      <c r="A917" s="47"/>
      <c r="B917" s="8"/>
      <c r="C917" s="8"/>
      <c r="D917" s="8"/>
      <c r="G917" s="8"/>
    </row>
    <row r="918" spans="1:7" s="9" customFormat="1" ht="15" customHeight="1" x14ac:dyDescent="0.25">
      <c r="A918" s="47"/>
      <c r="B918" s="8"/>
      <c r="C918" s="8"/>
      <c r="D918" s="8"/>
      <c r="G918" s="8"/>
    </row>
    <row r="919" spans="1:7" s="9" customFormat="1" ht="15" customHeight="1" x14ac:dyDescent="0.25">
      <c r="A919" s="47"/>
      <c r="B919" s="8"/>
      <c r="C919" s="8"/>
      <c r="D919" s="8"/>
      <c r="G919" s="8"/>
    </row>
    <row r="920" spans="1:7" s="9" customFormat="1" ht="15" customHeight="1" x14ac:dyDescent="0.25">
      <c r="A920" s="47"/>
      <c r="B920" s="8"/>
      <c r="C920" s="8"/>
      <c r="D920" s="8"/>
      <c r="G920" s="8"/>
    </row>
    <row r="921" spans="1:7" s="9" customFormat="1" ht="15" customHeight="1" x14ac:dyDescent="0.25">
      <c r="A921" s="47"/>
      <c r="B921" s="8"/>
      <c r="C921" s="8"/>
      <c r="D921" s="8"/>
      <c r="G921" s="8"/>
    </row>
    <row r="922" spans="1:7" s="9" customFormat="1" ht="15" customHeight="1" x14ac:dyDescent="0.25">
      <c r="A922" s="47"/>
      <c r="B922" s="8"/>
      <c r="C922" s="8"/>
      <c r="D922" s="8"/>
      <c r="G922" s="8"/>
    </row>
    <row r="923" spans="1:7" s="9" customFormat="1" ht="15" customHeight="1" x14ac:dyDescent="0.25">
      <c r="A923" s="47"/>
      <c r="B923" s="8"/>
      <c r="C923" s="8"/>
      <c r="D923" s="8"/>
      <c r="G923" s="8"/>
    </row>
    <row r="924" spans="1:7" s="9" customFormat="1" ht="15" customHeight="1" x14ac:dyDescent="0.25">
      <c r="A924" s="47"/>
      <c r="B924" s="8"/>
      <c r="C924" s="8"/>
      <c r="D924" s="8"/>
      <c r="G924" s="8"/>
    </row>
    <row r="925" spans="1:7" s="9" customFormat="1" ht="15" customHeight="1" x14ac:dyDescent="0.25">
      <c r="A925" s="47"/>
      <c r="B925" s="8"/>
      <c r="C925" s="8"/>
      <c r="D925" s="8"/>
      <c r="G925" s="8"/>
    </row>
    <row r="926" spans="1:7" s="9" customFormat="1" ht="15" customHeight="1" x14ac:dyDescent="0.25">
      <c r="A926" s="47"/>
      <c r="B926" s="8"/>
      <c r="C926" s="8"/>
      <c r="D926" s="8"/>
      <c r="G926" s="8"/>
    </row>
    <row r="927" spans="1:7" s="9" customFormat="1" ht="15" customHeight="1" x14ac:dyDescent="0.25">
      <c r="A927" s="47"/>
      <c r="B927" s="8"/>
      <c r="C927" s="8"/>
      <c r="D927" s="8"/>
      <c r="G927" s="8"/>
    </row>
    <row r="928" spans="1:7" s="9" customFormat="1" ht="15" customHeight="1" x14ac:dyDescent="0.25">
      <c r="A928" s="47"/>
      <c r="B928" s="8"/>
      <c r="C928" s="8"/>
      <c r="D928" s="8"/>
      <c r="G928" s="8"/>
    </row>
    <row r="929" spans="1:7" s="9" customFormat="1" ht="15" customHeight="1" x14ac:dyDescent="0.25">
      <c r="A929" s="47"/>
      <c r="B929" s="8"/>
      <c r="C929" s="8"/>
      <c r="D929" s="8"/>
      <c r="G929" s="8"/>
    </row>
    <row r="930" spans="1:7" s="9" customFormat="1" ht="15" customHeight="1" x14ac:dyDescent="0.25">
      <c r="A930" s="47"/>
      <c r="B930" s="8"/>
      <c r="C930" s="8"/>
      <c r="D930" s="8"/>
      <c r="G930" s="8"/>
    </row>
    <row r="931" spans="1:7" s="9" customFormat="1" ht="15" customHeight="1" x14ac:dyDescent="0.25">
      <c r="A931" s="47"/>
      <c r="B931" s="8"/>
      <c r="C931" s="8"/>
      <c r="D931" s="8"/>
      <c r="G931" s="8"/>
    </row>
    <row r="932" spans="1:7" s="9" customFormat="1" ht="15" customHeight="1" x14ac:dyDescent="0.25">
      <c r="A932" s="47"/>
      <c r="B932" s="8"/>
      <c r="C932" s="8"/>
      <c r="D932" s="8"/>
      <c r="G932" s="8"/>
    </row>
    <row r="933" spans="1:7" s="9" customFormat="1" ht="15" customHeight="1" x14ac:dyDescent="0.25">
      <c r="A933" s="47"/>
      <c r="B933" s="8"/>
      <c r="C933" s="8"/>
      <c r="D933" s="8"/>
      <c r="G933" s="8"/>
    </row>
    <row r="934" spans="1:7" s="9" customFormat="1" ht="15" customHeight="1" x14ac:dyDescent="0.25">
      <c r="A934" s="47"/>
      <c r="B934" s="8"/>
      <c r="C934" s="8"/>
      <c r="D934" s="8"/>
      <c r="G934" s="8"/>
    </row>
    <row r="935" spans="1:7" s="9" customFormat="1" ht="15" customHeight="1" x14ac:dyDescent="0.25">
      <c r="A935" s="47"/>
      <c r="B935" s="8"/>
      <c r="C935" s="8"/>
      <c r="D935" s="8"/>
      <c r="G935" s="8"/>
    </row>
    <row r="936" spans="1:7" s="9" customFormat="1" ht="15" customHeight="1" x14ac:dyDescent="0.25">
      <c r="A936" s="47"/>
      <c r="B936" s="8"/>
      <c r="C936" s="8"/>
      <c r="D936" s="8"/>
      <c r="G936" s="8"/>
    </row>
    <row r="937" spans="1:7" s="9" customFormat="1" ht="15" customHeight="1" x14ac:dyDescent="0.25">
      <c r="A937" s="47"/>
      <c r="B937" s="8"/>
      <c r="C937" s="8"/>
      <c r="D937" s="8"/>
      <c r="G937" s="8"/>
    </row>
    <row r="938" spans="1:7" s="9" customFormat="1" ht="15" customHeight="1" x14ac:dyDescent="0.25">
      <c r="A938" s="47"/>
      <c r="B938" s="8"/>
      <c r="C938" s="8"/>
      <c r="D938" s="8"/>
      <c r="G938" s="8"/>
    </row>
    <row r="939" spans="1:7" s="9" customFormat="1" ht="15" customHeight="1" x14ac:dyDescent="0.25">
      <c r="A939" s="47"/>
      <c r="B939" s="8"/>
      <c r="C939" s="8"/>
      <c r="D939" s="8"/>
      <c r="G939" s="8"/>
    </row>
    <row r="940" spans="1:7" s="9" customFormat="1" ht="15" customHeight="1" x14ac:dyDescent="0.25">
      <c r="A940" s="47"/>
      <c r="B940" s="8"/>
      <c r="C940" s="8"/>
      <c r="D940" s="8"/>
      <c r="G940" s="8"/>
    </row>
    <row r="941" spans="1:7" s="9" customFormat="1" ht="15" customHeight="1" x14ac:dyDescent="0.25">
      <c r="A941" s="47"/>
      <c r="B941" s="8"/>
      <c r="C941" s="8"/>
      <c r="D941" s="8"/>
      <c r="G941" s="8"/>
    </row>
    <row r="942" spans="1:7" s="9" customFormat="1" ht="15" customHeight="1" x14ac:dyDescent="0.25">
      <c r="A942" s="47"/>
      <c r="B942" s="8"/>
      <c r="C942" s="8"/>
      <c r="D942" s="8"/>
      <c r="G942" s="8"/>
    </row>
    <row r="943" spans="1:7" s="9" customFormat="1" ht="15" customHeight="1" x14ac:dyDescent="0.25">
      <c r="A943" s="47"/>
      <c r="B943" s="8"/>
      <c r="C943" s="8"/>
      <c r="D943" s="8"/>
      <c r="G943" s="8"/>
    </row>
    <row r="944" spans="1:7" s="9" customFormat="1" ht="15" customHeight="1" x14ac:dyDescent="0.25">
      <c r="A944" s="47"/>
      <c r="B944" s="8"/>
      <c r="C944" s="8"/>
      <c r="D944" s="8"/>
      <c r="G944" s="8"/>
    </row>
    <row r="945" spans="1:7" s="9" customFormat="1" ht="15" customHeight="1" x14ac:dyDescent="0.25">
      <c r="A945" s="47"/>
      <c r="B945" s="8"/>
      <c r="C945" s="8"/>
      <c r="D945" s="8"/>
      <c r="G945" s="8"/>
    </row>
    <row r="946" spans="1:7" s="9" customFormat="1" ht="15" customHeight="1" x14ac:dyDescent="0.25">
      <c r="A946" s="47"/>
      <c r="B946" s="8"/>
      <c r="C946" s="8"/>
      <c r="D946" s="8"/>
      <c r="G946" s="8"/>
    </row>
    <row r="947" spans="1:7" s="9" customFormat="1" ht="15" customHeight="1" x14ac:dyDescent="0.25">
      <c r="A947" s="47"/>
      <c r="B947" s="8"/>
      <c r="C947" s="8"/>
      <c r="D947" s="8"/>
      <c r="G947" s="8"/>
    </row>
    <row r="948" spans="1:7" s="9" customFormat="1" ht="15" customHeight="1" x14ac:dyDescent="0.25">
      <c r="A948" s="47"/>
      <c r="B948" s="8"/>
      <c r="C948" s="8"/>
      <c r="D948" s="8"/>
      <c r="G948" s="8"/>
    </row>
    <row r="949" spans="1:7" s="9" customFormat="1" ht="15" customHeight="1" x14ac:dyDescent="0.25">
      <c r="A949" s="47"/>
      <c r="B949" s="8"/>
      <c r="C949" s="8"/>
      <c r="D949" s="8"/>
      <c r="G949" s="8"/>
    </row>
    <row r="950" spans="1:7" s="9" customFormat="1" ht="15" customHeight="1" x14ac:dyDescent="0.25">
      <c r="A950" s="47"/>
      <c r="B950" s="8"/>
      <c r="C950" s="8"/>
      <c r="D950" s="8"/>
      <c r="G950" s="8"/>
    </row>
    <row r="951" spans="1:7" s="9" customFormat="1" ht="15" customHeight="1" x14ac:dyDescent="0.25">
      <c r="A951" s="47"/>
      <c r="B951" s="8"/>
      <c r="C951" s="8"/>
      <c r="D951" s="8"/>
      <c r="G951" s="8"/>
    </row>
    <row r="952" spans="1:7" s="9" customFormat="1" ht="15" customHeight="1" x14ac:dyDescent="0.25">
      <c r="A952" s="47"/>
      <c r="B952" s="8"/>
      <c r="C952" s="8"/>
      <c r="D952" s="8"/>
      <c r="G952" s="8"/>
    </row>
    <row r="953" spans="1:7" s="9" customFormat="1" ht="15" customHeight="1" x14ac:dyDescent="0.25">
      <c r="A953" s="47"/>
      <c r="B953" s="8"/>
      <c r="C953" s="8"/>
      <c r="D953" s="8"/>
      <c r="G953" s="8"/>
    </row>
    <row r="954" spans="1:7" s="9" customFormat="1" ht="15" customHeight="1" x14ac:dyDescent="0.25">
      <c r="A954" s="47"/>
      <c r="B954" s="8"/>
      <c r="C954" s="8"/>
      <c r="D954" s="8"/>
      <c r="G954" s="8"/>
    </row>
    <row r="955" spans="1:7" s="9" customFormat="1" ht="15" customHeight="1" x14ac:dyDescent="0.25">
      <c r="A955" s="47"/>
      <c r="B955" s="8"/>
      <c r="C955" s="8"/>
      <c r="D955" s="8"/>
      <c r="G955" s="8"/>
    </row>
    <row r="956" spans="1:7" s="9" customFormat="1" ht="15" customHeight="1" x14ac:dyDescent="0.25">
      <c r="A956" s="47"/>
      <c r="B956" s="8"/>
      <c r="C956" s="8"/>
      <c r="D956" s="8"/>
      <c r="G956" s="8"/>
    </row>
    <row r="957" spans="1:7" s="9" customFormat="1" ht="15" customHeight="1" x14ac:dyDescent="0.25">
      <c r="A957" s="47"/>
      <c r="B957" s="8"/>
      <c r="C957" s="8"/>
      <c r="D957" s="8"/>
      <c r="G957" s="8"/>
    </row>
    <row r="958" spans="1:7" s="9" customFormat="1" ht="15" customHeight="1" x14ac:dyDescent="0.25">
      <c r="A958" s="47"/>
      <c r="B958" s="8"/>
      <c r="C958" s="8"/>
      <c r="D958" s="8"/>
      <c r="G958" s="8"/>
    </row>
    <row r="959" spans="1:7" s="9" customFormat="1" ht="15" customHeight="1" x14ac:dyDescent="0.25">
      <c r="A959" s="47"/>
      <c r="B959" s="8"/>
      <c r="C959" s="8"/>
      <c r="D959" s="8"/>
      <c r="G959" s="8"/>
    </row>
    <row r="960" spans="1:7" s="9" customFormat="1" ht="15" customHeight="1" x14ac:dyDescent="0.25">
      <c r="A960" s="47"/>
      <c r="B960" s="8"/>
      <c r="C960" s="8"/>
      <c r="D960" s="8"/>
      <c r="G960" s="8"/>
    </row>
    <row r="961" spans="1:7" s="9" customFormat="1" ht="15" customHeight="1" x14ac:dyDescent="0.25">
      <c r="A961" s="47"/>
      <c r="B961" s="8"/>
      <c r="C961" s="8"/>
      <c r="D961" s="8"/>
      <c r="G961" s="8"/>
    </row>
    <row r="962" spans="1:7" s="9" customFormat="1" ht="15" customHeight="1" x14ac:dyDescent="0.25">
      <c r="A962" s="47"/>
      <c r="B962" s="8"/>
      <c r="C962" s="8"/>
      <c r="D962" s="8"/>
      <c r="G962" s="8"/>
    </row>
    <row r="963" spans="1:7" s="9" customFormat="1" ht="15" customHeight="1" x14ac:dyDescent="0.25">
      <c r="A963" s="47"/>
      <c r="B963" s="8"/>
      <c r="C963" s="8"/>
      <c r="D963" s="8"/>
      <c r="G963" s="8"/>
    </row>
    <row r="964" spans="1:7" s="9" customFormat="1" ht="15" customHeight="1" x14ac:dyDescent="0.25">
      <c r="A964" s="47"/>
      <c r="B964" s="8"/>
      <c r="C964" s="8"/>
      <c r="D964" s="8"/>
      <c r="G964" s="8"/>
    </row>
    <row r="965" spans="1:7" s="9" customFormat="1" ht="15" customHeight="1" x14ac:dyDescent="0.25">
      <c r="A965" s="47"/>
      <c r="B965" s="8"/>
      <c r="C965" s="8"/>
      <c r="D965" s="8"/>
      <c r="G965" s="8"/>
    </row>
    <row r="966" spans="1:7" s="9" customFormat="1" ht="15" customHeight="1" x14ac:dyDescent="0.25">
      <c r="A966" s="47"/>
      <c r="B966" s="8"/>
      <c r="C966" s="8"/>
      <c r="D966" s="8"/>
      <c r="G966" s="8"/>
    </row>
    <row r="967" spans="1:7" s="9" customFormat="1" ht="15" customHeight="1" x14ac:dyDescent="0.25">
      <c r="A967" s="47"/>
      <c r="B967" s="8"/>
      <c r="C967" s="8"/>
      <c r="D967" s="8"/>
      <c r="G967" s="8"/>
    </row>
    <row r="968" spans="1:7" s="9" customFormat="1" ht="15" customHeight="1" x14ac:dyDescent="0.25">
      <c r="A968" s="47"/>
      <c r="B968" s="8"/>
      <c r="C968" s="8"/>
      <c r="D968" s="8"/>
      <c r="G968" s="8"/>
    </row>
    <row r="969" spans="1:7" s="9" customFormat="1" ht="15" customHeight="1" x14ac:dyDescent="0.25">
      <c r="A969" s="47"/>
      <c r="B969" s="8"/>
      <c r="C969" s="8"/>
      <c r="D969" s="8"/>
      <c r="G969" s="8"/>
    </row>
    <row r="970" spans="1:7" s="9" customFormat="1" ht="15" customHeight="1" x14ac:dyDescent="0.25">
      <c r="A970" s="47"/>
      <c r="B970" s="8"/>
      <c r="C970" s="8"/>
      <c r="D970" s="8"/>
      <c r="G970" s="8"/>
    </row>
    <row r="971" spans="1:7" s="9" customFormat="1" ht="15" customHeight="1" x14ac:dyDescent="0.25">
      <c r="A971" s="47"/>
      <c r="B971" s="8"/>
      <c r="C971" s="8"/>
      <c r="D971" s="8"/>
      <c r="G971" s="8"/>
    </row>
    <row r="972" spans="1:7" s="9" customFormat="1" ht="15" customHeight="1" x14ac:dyDescent="0.25">
      <c r="A972" s="47"/>
      <c r="B972" s="8"/>
      <c r="C972" s="8"/>
      <c r="D972" s="8"/>
      <c r="G972" s="8"/>
    </row>
    <row r="973" spans="1:7" s="9" customFormat="1" ht="15" customHeight="1" x14ac:dyDescent="0.25">
      <c r="A973" s="47"/>
      <c r="B973" s="8"/>
      <c r="C973" s="8"/>
      <c r="D973" s="8"/>
      <c r="G973" s="8"/>
    </row>
    <row r="974" spans="1:7" s="9" customFormat="1" ht="15" customHeight="1" x14ac:dyDescent="0.25">
      <c r="A974" s="47"/>
      <c r="B974" s="8"/>
      <c r="C974" s="8"/>
      <c r="D974" s="8"/>
      <c r="G974" s="8"/>
    </row>
    <row r="975" spans="1:7" s="9" customFormat="1" ht="15" customHeight="1" x14ac:dyDescent="0.25">
      <c r="A975" s="47"/>
      <c r="B975" s="8"/>
      <c r="C975" s="8"/>
      <c r="D975" s="8"/>
      <c r="G975" s="8"/>
    </row>
    <row r="976" spans="1:7" s="9" customFormat="1" ht="15" customHeight="1" x14ac:dyDescent="0.25">
      <c r="A976" s="47"/>
      <c r="B976" s="8"/>
      <c r="C976" s="8"/>
      <c r="D976" s="8"/>
      <c r="G976" s="8"/>
    </row>
    <row r="977" spans="1:7" s="9" customFormat="1" ht="15" customHeight="1" x14ac:dyDescent="0.25">
      <c r="A977" s="47"/>
      <c r="B977" s="8"/>
      <c r="C977" s="8"/>
      <c r="D977" s="8"/>
      <c r="G977" s="8"/>
    </row>
    <row r="978" spans="1:7" s="9" customFormat="1" ht="15" customHeight="1" x14ac:dyDescent="0.25">
      <c r="A978" s="47"/>
      <c r="B978" s="8"/>
      <c r="C978" s="8"/>
      <c r="D978" s="8"/>
      <c r="G978" s="8"/>
    </row>
    <row r="979" spans="1:7" s="9" customFormat="1" ht="15" customHeight="1" x14ac:dyDescent="0.25">
      <c r="A979" s="47"/>
      <c r="B979" s="8"/>
      <c r="C979" s="8"/>
      <c r="D979" s="8"/>
      <c r="G979" s="8"/>
    </row>
    <row r="980" spans="1:7" s="9" customFormat="1" ht="15" customHeight="1" x14ac:dyDescent="0.25">
      <c r="A980" s="47"/>
      <c r="B980" s="8"/>
      <c r="C980" s="8"/>
      <c r="D980" s="8"/>
      <c r="G980" s="8"/>
    </row>
    <row r="981" spans="1:7" s="9" customFormat="1" ht="15" customHeight="1" x14ac:dyDescent="0.25">
      <c r="A981" s="47"/>
      <c r="B981" s="8"/>
      <c r="C981" s="8"/>
      <c r="D981" s="8"/>
      <c r="G981" s="8"/>
    </row>
    <row r="982" spans="1:7" s="9" customFormat="1" ht="15" customHeight="1" x14ac:dyDescent="0.25">
      <c r="A982" s="47"/>
      <c r="B982" s="8"/>
      <c r="C982" s="8"/>
      <c r="D982" s="8"/>
      <c r="G982" s="8"/>
    </row>
    <row r="983" spans="1:7" s="9" customFormat="1" ht="15" customHeight="1" x14ac:dyDescent="0.25">
      <c r="A983" s="47"/>
      <c r="B983" s="8"/>
      <c r="C983" s="8"/>
      <c r="D983" s="8"/>
      <c r="G983" s="8"/>
    </row>
    <row r="984" spans="1:7" s="9" customFormat="1" ht="15" customHeight="1" x14ac:dyDescent="0.25">
      <c r="A984" s="47"/>
      <c r="B984" s="8"/>
      <c r="C984" s="8"/>
      <c r="D984" s="8"/>
      <c r="G984" s="8"/>
    </row>
    <row r="985" spans="1:7" s="9" customFormat="1" ht="15" customHeight="1" x14ac:dyDescent="0.25">
      <c r="A985" s="47"/>
      <c r="B985" s="8"/>
      <c r="C985" s="8"/>
      <c r="D985" s="8"/>
      <c r="G985" s="8"/>
    </row>
    <row r="986" spans="1:7" s="9" customFormat="1" ht="15" customHeight="1" x14ac:dyDescent="0.25">
      <c r="A986" s="47"/>
      <c r="B986" s="8"/>
      <c r="C986" s="8"/>
      <c r="D986" s="8"/>
      <c r="G986" s="8"/>
    </row>
    <row r="987" spans="1:7" s="9" customFormat="1" ht="15" customHeight="1" x14ac:dyDescent="0.25">
      <c r="A987" s="47"/>
      <c r="B987" s="8"/>
      <c r="C987" s="8"/>
      <c r="D987" s="8"/>
      <c r="G987" s="8"/>
    </row>
    <row r="988" spans="1:7" s="9" customFormat="1" ht="15" customHeight="1" x14ac:dyDescent="0.25">
      <c r="A988" s="47"/>
      <c r="B988" s="8"/>
      <c r="C988" s="8"/>
      <c r="D988" s="8"/>
      <c r="G988" s="8"/>
    </row>
    <row r="989" spans="1:7" s="9" customFormat="1" ht="15" customHeight="1" x14ac:dyDescent="0.25">
      <c r="A989" s="47"/>
      <c r="B989" s="8"/>
      <c r="C989" s="8"/>
      <c r="D989" s="8"/>
      <c r="G989" s="8"/>
    </row>
    <row r="990" spans="1:7" s="9" customFormat="1" ht="15" customHeight="1" x14ac:dyDescent="0.25">
      <c r="A990" s="47"/>
      <c r="B990" s="8"/>
      <c r="C990" s="8"/>
      <c r="D990" s="8"/>
      <c r="G990" s="8"/>
    </row>
    <row r="991" spans="1:7" s="9" customFormat="1" ht="15" customHeight="1" x14ac:dyDescent="0.25">
      <c r="A991" s="47"/>
      <c r="B991" s="8"/>
      <c r="C991" s="8"/>
      <c r="D991" s="8"/>
      <c r="G991" s="8"/>
    </row>
    <row r="992" spans="1:7" s="9" customFormat="1" ht="15" customHeight="1" x14ac:dyDescent="0.25">
      <c r="A992" s="47"/>
      <c r="B992" s="8"/>
      <c r="C992" s="8"/>
      <c r="D992" s="8"/>
      <c r="G992" s="8"/>
    </row>
    <row r="993" spans="1:7" s="9" customFormat="1" ht="15" customHeight="1" x14ac:dyDescent="0.25">
      <c r="A993" s="47"/>
      <c r="B993" s="8"/>
      <c r="C993" s="8"/>
      <c r="D993" s="8"/>
      <c r="G993" s="8"/>
    </row>
    <row r="994" spans="1:7" s="9" customFormat="1" ht="15" customHeight="1" x14ac:dyDescent="0.25">
      <c r="A994" s="47"/>
      <c r="B994" s="8"/>
      <c r="C994" s="8"/>
      <c r="D994" s="8"/>
      <c r="G994" s="8"/>
    </row>
    <row r="995" spans="1:7" s="9" customFormat="1" ht="15" customHeight="1" x14ac:dyDescent="0.25">
      <c r="A995" s="47"/>
      <c r="B995" s="8"/>
      <c r="C995" s="8"/>
      <c r="D995" s="8"/>
      <c r="G995" s="8"/>
    </row>
    <row r="996" spans="1:7" s="9" customFormat="1" ht="15" customHeight="1" x14ac:dyDescent="0.25">
      <c r="A996" s="47"/>
      <c r="B996" s="8"/>
      <c r="C996" s="8"/>
      <c r="D996" s="8"/>
      <c r="G996" s="8"/>
    </row>
    <row r="997" spans="1:7" s="9" customFormat="1" ht="15" customHeight="1" x14ac:dyDescent="0.25">
      <c r="A997" s="47"/>
      <c r="B997" s="8"/>
      <c r="C997" s="8"/>
      <c r="D997" s="8"/>
      <c r="G997" s="8"/>
    </row>
    <row r="998" spans="1:7" s="9" customFormat="1" ht="15" customHeight="1" x14ac:dyDescent="0.25">
      <c r="A998" s="47"/>
      <c r="B998" s="8"/>
      <c r="C998" s="8"/>
      <c r="D998" s="8"/>
      <c r="G998" s="8"/>
    </row>
    <row r="999" spans="1:7" s="9" customFormat="1" ht="15" customHeight="1" x14ac:dyDescent="0.25">
      <c r="A999" s="47"/>
      <c r="B999" s="8"/>
      <c r="C999" s="8"/>
      <c r="D999" s="8"/>
      <c r="G999" s="8"/>
    </row>
    <row r="1000" spans="1:7" s="9" customFormat="1" ht="15" customHeight="1" x14ac:dyDescent="0.25">
      <c r="A1000" s="47"/>
      <c r="B1000" s="8"/>
      <c r="C1000" s="8"/>
      <c r="D1000" s="8"/>
      <c r="G1000" s="8"/>
    </row>
    <row r="1001" spans="1:7" s="9" customFormat="1" ht="15" customHeight="1" x14ac:dyDescent="0.25">
      <c r="A1001" s="47"/>
      <c r="B1001" s="8"/>
      <c r="C1001" s="8"/>
      <c r="D1001" s="8"/>
      <c r="G1001" s="8"/>
    </row>
    <row r="1002" spans="1:7" s="9" customFormat="1" ht="15" customHeight="1" x14ac:dyDescent="0.25">
      <c r="A1002" s="47"/>
      <c r="B1002" s="8"/>
      <c r="C1002" s="8"/>
      <c r="D1002" s="8"/>
      <c r="G1002" s="8"/>
    </row>
    <row r="1003" spans="1:7" s="9" customFormat="1" ht="15" customHeight="1" x14ac:dyDescent="0.25">
      <c r="A1003" s="47"/>
      <c r="B1003" s="8"/>
      <c r="C1003" s="8"/>
      <c r="D1003" s="8"/>
      <c r="G1003" s="8"/>
    </row>
    <row r="1004" spans="1:7" s="9" customFormat="1" ht="15" customHeight="1" x14ac:dyDescent="0.25">
      <c r="A1004" s="47"/>
      <c r="B1004" s="8"/>
      <c r="C1004" s="8"/>
      <c r="D1004" s="8"/>
      <c r="G1004" s="8"/>
    </row>
    <row r="1005" spans="1:7" s="9" customFormat="1" ht="15" customHeight="1" x14ac:dyDescent="0.25">
      <c r="A1005" s="47"/>
      <c r="B1005" s="8"/>
      <c r="C1005" s="8"/>
      <c r="D1005" s="8"/>
      <c r="G1005" s="8"/>
    </row>
    <row r="1006" spans="1:7" s="9" customFormat="1" ht="15" customHeight="1" x14ac:dyDescent="0.25">
      <c r="A1006" s="47"/>
      <c r="B1006" s="8"/>
      <c r="C1006" s="8"/>
      <c r="D1006" s="8"/>
      <c r="G1006" s="8"/>
    </row>
    <row r="1007" spans="1:7" s="9" customFormat="1" ht="15" customHeight="1" x14ac:dyDescent="0.25">
      <c r="A1007" s="47"/>
      <c r="B1007" s="8"/>
      <c r="C1007" s="8"/>
      <c r="D1007" s="8"/>
      <c r="G1007" s="8"/>
    </row>
    <row r="1008" spans="1:7" s="9" customFormat="1" ht="15" customHeight="1" x14ac:dyDescent="0.25">
      <c r="A1008" s="47"/>
      <c r="B1008" s="8"/>
      <c r="C1008" s="8"/>
      <c r="D1008" s="8"/>
      <c r="G1008" s="8"/>
    </row>
    <row r="1009" spans="1:7" s="9" customFormat="1" ht="15" customHeight="1" x14ac:dyDescent="0.25">
      <c r="A1009" s="47"/>
      <c r="B1009" s="8"/>
      <c r="C1009" s="8"/>
      <c r="D1009" s="8"/>
      <c r="G1009" s="8"/>
    </row>
    <row r="1010" spans="1:7" s="9" customFormat="1" ht="15" customHeight="1" x14ac:dyDescent="0.25">
      <c r="A1010" s="47"/>
      <c r="B1010" s="8"/>
      <c r="C1010" s="8"/>
      <c r="D1010" s="8"/>
      <c r="G1010" s="8"/>
    </row>
    <row r="1011" spans="1:7" s="9" customFormat="1" ht="15" customHeight="1" x14ac:dyDescent="0.25">
      <c r="A1011" s="47"/>
      <c r="B1011" s="8"/>
      <c r="C1011" s="8"/>
      <c r="D1011" s="8"/>
      <c r="G1011" s="8"/>
    </row>
    <row r="1012" spans="1:7" s="9" customFormat="1" ht="15" customHeight="1" x14ac:dyDescent="0.25">
      <c r="A1012" s="47"/>
      <c r="B1012" s="8"/>
      <c r="C1012" s="8"/>
      <c r="D1012" s="8"/>
      <c r="G1012" s="8"/>
    </row>
    <row r="1013" spans="1:7" s="9" customFormat="1" ht="15" customHeight="1" x14ac:dyDescent="0.25">
      <c r="A1013" s="47"/>
      <c r="B1013" s="8"/>
      <c r="C1013" s="8"/>
      <c r="D1013" s="8"/>
      <c r="G1013" s="8"/>
    </row>
    <row r="1014" spans="1:7" s="9" customFormat="1" ht="15" customHeight="1" x14ac:dyDescent="0.25">
      <c r="A1014" s="47"/>
      <c r="B1014" s="8"/>
      <c r="C1014" s="8"/>
      <c r="D1014" s="8"/>
      <c r="G1014" s="8"/>
    </row>
    <row r="1015" spans="1:7" s="9" customFormat="1" ht="15" customHeight="1" x14ac:dyDescent="0.25">
      <c r="A1015" s="47"/>
      <c r="B1015" s="8"/>
      <c r="C1015" s="8"/>
      <c r="D1015" s="8"/>
      <c r="G1015" s="8"/>
    </row>
    <row r="1016" spans="1:7" s="9" customFormat="1" ht="15" customHeight="1" x14ac:dyDescent="0.25">
      <c r="A1016" s="47"/>
      <c r="B1016" s="8"/>
      <c r="C1016" s="8"/>
      <c r="D1016" s="8"/>
      <c r="G1016" s="8"/>
    </row>
    <row r="1017" spans="1:7" s="9" customFormat="1" ht="15" customHeight="1" x14ac:dyDescent="0.25">
      <c r="A1017" s="47"/>
      <c r="B1017" s="8"/>
      <c r="C1017" s="8"/>
      <c r="D1017" s="8"/>
      <c r="G1017" s="8"/>
    </row>
    <row r="1018" spans="1:7" s="9" customFormat="1" ht="15" customHeight="1" x14ac:dyDescent="0.25">
      <c r="A1018" s="47"/>
      <c r="B1018" s="8"/>
      <c r="C1018" s="8"/>
      <c r="D1018" s="8"/>
      <c r="G1018" s="8"/>
    </row>
    <row r="1019" spans="1:7" s="9" customFormat="1" ht="15" customHeight="1" x14ac:dyDescent="0.25">
      <c r="A1019" s="47"/>
      <c r="B1019" s="8"/>
      <c r="C1019" s="8"/>
      <c r="D1019" s="8"/>
      <c r="G1019" s="8"/>
    </row>
    <row r="1020" spans="1:7" s="9" customFormat="1" ht="15" customHeight="1" x14ac:dyDescent="0.25">
      <c r="A1020" s="47"/>
      <c r="B1020" s="8"/>
      <c r="C1020" s="8"/>
      <c r="D1020" s="8"/>
      <c r="G1020" s="8"/>
    </row>
    <row r="1021" spans="1:7" s="9" customFormat="1" ht="15" customHeight="1" x14ac:dyDescent="0.25">
      <c r="A1021" s="47"/>
      <c r="B1021" s="8"/>
      <c r="C1021" s="8"/>
      <c r="D1021" s="8"/>
      <c r="G1021" s="8"/>
    </row>
    <row r="1022" spans="1:7" s="9" customFormat="1" ht="15" customHeight="1" x14ac:dyDescent="0.25">
      <c r="A1022" s="47"/>
      <c r="B1022" s="8"/>
      <c r="C1022" s="8"/>
      <c r="D1022" s="8"/>
      <c r="G1022" s="8"/>
    </row>
    <row r="1023" spans="1:7" s="9" customFormat="1" ht="15" customHeight="1" x14ac:dyDescent="0.25">
      <c r="A1023" s="47"/>
      <c r="B1023" s="8"/>
      <c r="C1023" s="8"/>
      <c r="D1023" s="8"/>
      <c r="G1023" s="8"/>
    </row>
    <row r="1024" spans="1:7" s="9" customFormat="1" ht="15" customHeight="1" x14ac:dyDescent="0.25">
      <c r="A1024" s="47"/>
      <c r="B1024" s="8"/>
      <c r="C1024" s="8"/>
      <c r="D1024" s="8"/>
      <c r="G1024" s="8"/>
    </row>
    <row r="1025" spans="1:7" s="9" customFormat="1" ht="15" customHeight="1" x14ac:dyDescent="0.25">
      <c r="A1025" s="47"/>
      <c r="B1025" s="8"/>
      <c r="C1025" s="8"/>
      <c r="D1025" s="8"/>
      <c r="G1025" s="8"/>
    </row>
    <row r="1026" spans="1:7" s="9" customFormat="1" ht="15" customHeight="1" x14ac:dyDescent="0.25">
      <c r="A1026" s="47"/>
      <c r="B1026" s="8"/>
      <c r="C1026" s="8"/>
      <c r="D1026" s="8"/>
      <c r="G1026" s="8"/>
    </row>
    <row r="1027" spans="1:7" s="9" customFormat="1" ht="15" customHeight="1" x14ac:dyDescent="0.25">
      <c r="A1027" s="47"/>
      <c r="B1027" s="8"/>
      <c r="C1027" s="8"/>
      <c r="D1027" s="8"/>
      <c r="G1027" s="8"/>
    </row>
    <row r="1028" spans="1:7" s="9" customFormat="1" ht="15" customHeight="1" x14ac:dyDescent="0.25">
      <c r="A1028" s="47"/>
      <c r="B1028" s="8"/>
      <c r="C1028" s="8"/>
      <c r="D1028" s="8"/>
      <c r="G1028" s="8"/>
    </row>
    <row r="1029" spans="1:7" s="9" customFormat="1" ht="15" customHeight="1" x14ac:dyDescent="0.25">
      <c r="A1029" s="47"/>
      <c r="B1029" s="8"/>
      <c r="C1029" s="8"/>
      <c r="D1029" s="8"/>
      <c r="G1029" s="8"/>
    </row>
    <row r="1030" spans="1:7" s="9" customFormat="1" ht="15" customHeight="1" x14ac:dyDescent="0.25">
      <c r="A1030" s="47"/>
      <c r="B1030" s="8"/>
      <c r="C1030" s="8"/>
      <c r="D1030" s="8"/>
      <c r="G1030" s="8"/>
    </row>
    <row r="1031" spans="1:7" s="9" customFormat="1" ht="15" customHeight="1" x14ac:dyDescent="0.25">
      <c r="A1031" s="47"/>
      <c r="B1031" s="8"/>
      <c r="C1031" s="8"/>
      <c r="D1031" s="8"/>
      <c r="G1031" s="8"/>
    </row>
    <row r="1032" spans="1:7" s="9" customFormat="1" ht="15" customHeight="1" x14ac:dyDescent="0.25">
      <c r="A1032" s="47"/>
      <c r="B1032" s="8"/>
      <c r="C1032" s="8"/>
      <c r="D1032" s="8"/>
      <c r="G1032" s="8"/>
    </row>
    <row r="1033" spans="1:7" s="9" customFormat="1" ht="15" customHeight="1" x14ac:dyDescent="0.25">
      <c r="A1033" s="47"/>
      <c r="B1033" s="8"/>
      <c r="C1033" s="8"/>
      <c r="D1033" s="8"/>
      <c r="G1033" s="8"/>
    </row>
    <row r="1034" spans="1:7" s="9" customFormat="1" ht="15" customHeight="1" x14ac:dyDescent="0.25">
      <c r="A1034" s="47"/>
      <c r="B1034" s="8"/>
      <c r="C1034" s="8"/>
      <c r="D1034" s="8"/>
      <c r="G1034" s="8"/>
    </row>
    <row r="1035" spans="1:7" s="9" customFormat="1" ht="15" customHeight="1" x14ac:dyDescent="0.25">
      <c r="A1035" s="47"/>
      <c r="B1035" s="8"/>
      <c r="C1035" s="8"/>
      <c r="D1035" s="8"/>
      <c r="G1035" s="8"/>
    </row>
    <row r="1036" spans="1:7" s="9" customFormat="1" ht="15" customHeight="1" x14ac:dyDescent="0.25">
      <c r="A1036" s="47"/>
      <c r="B1036" s="8"/>
      <c r="C1036" s="8"/>
      <c r="D1036" s="8"/>
      <c r="G1036" s="8"/>
    </row>
    <row r="1037" spans="1:7" s="9" customFormat="1" ht="15" customHeight="1" x14ac:dyDescent="0.25">
      <c r="A1037" s="47"/>
      <c r="B1037" s="8"/>
      <c r="C1037" s="8"/>
      <c r="D1037" s="8"/>
      <c r="G1037" s="8"/>
    </row>
    <row r="1038" spans="1:7" s="9" customFormat="1" ht="15" customHeight="1" x14ac:dyDescent="0.25">
      <c r="A1038" s="47"/>
      <c r="B1038" s="8"/>
      <c r="C1038" s="8"/>
      <c r="D1038" s="8"/>
      <c r="G1038" s="8"/>
    </row>
    <row r="1039" spans="1:7" s="9" customFormat="1" ht="15" customHeight="1" x14ac:dyDescent="0.25">
      <c r="A1039" s="47"/>
      <c r="B1039" s="8"/>
      <c r="C1039" s="8"/>
      <c r="D1039" s="8"/>
      <c r="G1039" s="8"/>
    </row>
    <row r="1040" spans="1:7" s="9" customFormat="1" ht="15" customHeight="1" x14ac:dyDescent="0.25">
      <c r="A1040" s="47"/>
      <c r="B1040" s="8"/>
      <c r="C1040" s="8"/>
      <c r="D1040" s="8"/>
      <c r="G1040" s="8"/>
    </row>
    <row r="1041" spans="1:7" s="9" customFormat="1" ht="15" customHeight="1" x14ac:dyDescent="0.25">
      <c r="A1041" s="47"/>
      <c r="B1041" s="8"/>
      <c r="C1041" s="8"/>
      <c r="D1041" s="8"/>
      <c r="G1041" s="8"/>
    </row>
    <row r="1042" spans="1:7" s="9" customFormat="1" ht="15" customHeight="1" x14ac:dyDescent="0.25">
      <c r="A1042" s="47"/>
      <c r="B1042" s="8"/>
      <c r="C1042" s="8"/>
      <c r="D1042" s="8"/>
      <c r="G1042" s="8"/>
    </row>
    <row r="1043" spans="1:7" s="9" customFormat="1" ht="15" customHeight="1" x14ac:dyDescent="0.25">
      <c r="A1043" s="47"/>
      <c r="B1043" s="8"/>
      <c r="C1043" s="8"/>
      <c r="D1043" s="8"/>
      <c r="G1043" s="8"/>
    </row>
    <row r="1044" spans="1:7" s="9" customFormat="1" ht="15" customHeight="1" x14ac:dyDescent="0.25">
      <c r="A1044" s="47"/>
      <c r="B1044" s="8"/>
      <c r="C1044" s="8"/>
      <c r="D1044" s="8"/>
      <c r="G1044" s="8"/>
    </row>
    <row r="1045" spans="1:7" s="9" customFormat="1" ht="15" customHeight="1" x14ac:dyDescent="0.25">
      <c r="A1045" s="47"/>
      <c r="B1045" s="8"/>
      <c r="C1045" s="8"/>
      <c r="D1045" s="8"/>
      <c r="G1045" s="8"/>
    </row>
    <row r="1046" spans="1:7" s="9" customFormat="1" ht="15" customHeight="1" x14ac:dyDescent="0.25">
      <c r="A1046" s="47"/>
      <c r="B1046" s="8"/>
      <c r="C1046" s="8"/>
      <c r="D1046" s="8"/>
      <c r="G1046" s="8"/>
    </row>
    <row r="1047" spans="1:7" s="9" customFormat="1" ht="15" customHeight="1" x14ac:dyDescent="0.25">
      <c r="A1047" s="47"/>
      <c r="B1047" s="8"/>
      <c r="C1047" s="8"/>
      <c r="D1047" s="8"/>
      <c r="G1047" s="8"/>
    </row>
    <row r="1048" spans="1:7" s="9" customFormat="1" ht="15" customHeight="1" x14ac:dyDescent="0.25">
      <c r="A1048" s="47"/>
      <c r="B1048" s="8"/>
      <c r="C1048" s="8"/>
      <c r="D1048" s="8"/>
      <c r="G1048" s="8"/>
    </row>
    <row r="1049" spans="1:7" s="9" customFormat="1" ht="15" customHeight="1" x14ac:dyDescent="0.25">
      <c r="A1049" s="47"/>
      <c r="B1049" s="8"/>
      <c r="C1049" s="8"/>
      <c r="D1049" s="8"/>
      <c r="G1049" s="8"/>
    </row>
    <row r="1050" spans="1:7" s="9" customFormat="1" ht="15" customHeight="1" x14ac:dyDescent="0.25">
      <c r="A1050" s="47"/>
      <c r="B1050" s="8"/>
      <c r="C1050" s="8"/>
      <c r="D1050" s="8"/>
      <c r="G1050" s="8"/>
    </row>
    <row r="1051" spans="1:7" s="9" customFormat="1" ht="15" customHeight="1" x14ac:dyDescent="0.25">
      <c r="A1051" s="47"/>
      <c r="B1051" s="8"/>
      <c r="C1051" s="8"/>
      <c r="D1051" s="8"/>
      <c r="G1051" s="8"/>
    </row>
    <row r="1052" spans="1:7" s="9" customFormat="1" ht="15" customHeight="1" x14ac:dyDescent="0.25">
      <c r="A1052" s="47"/>
      <c r="B1052" s="8"/>
      <c r="C1052" s="8"/>
      <c r="D1052" s="8"/>
      <c r="G1052" s="8"/>
    </row>
    <row r="1053" spans="1:7" s="9" customFormat="1" ht="15" customHeight="1" x14ac:dyDescent="0.25">
      <c r="A1053" s="47"/>
      <c r="B1053" s="8"/>
      <c r="C1053" s="8"/>
      <c r="D1053" s="8"/>
      <c r="G1053" s="8"/>
    </row>
    <row r="1054" spans="1:7" s="9" customFormat="1" ht="15" customHeight="1" x14ac:dyDescent="0.25">
      <c r="A1054" s="47"/>
      <c r="B1054" s="8"/>
      <c r="C1054" s="8"/>
      <c r="D1054" s="8"/>
      <c r="G1054" s="8"/>
    </row>
    <row r="1055" spans="1:7" s="9" customFormat="1" ht="15" customHeight="1" x14ac:dyDescent="0.25">
      <c r="A1055" s="47"/>
      <c r="B1055" s="8"/>
      <c r="C1055" s="8"/>
      <c r="D1055" s="8"/>
      <c r="G1055" s="8"/>
    </row>
    <row r="1056" spans="1:7" s="9" customFormat="1" ht="15" customHeight="1" x14ac:dyDescent="0.25">
      <c r="A1056" s="47"/>
      <c r="B1056" s="8"/>
      <c r="C1056" s="8"/>
      <c r="D1056" s="8"/>
      <c r="G1056" s="8"/>
    </row>
    <row r="1057" spans="1:7" s="9" customFormat="1" ht="15" customHeight="1" x14ac:dyDescent="0.25">
      <c r="A1057" s="47"/>
      <c r="B1057" s="8"/>
      <c r="C1057" s="8"/>
      <c r="D1057" s="8"/>
      <c r="G1057" s="8"/>
    </row>
    <row r="1058" spans="1:7" s="9" customFormat="1" ht="15" customHeight="1" x14ac:dyDescent="0.25">
      <c r="A1058" s="47"/>
      <c r="B1058" s="8"/>
      <c r="C1058" s="8"/>
      <c r="D1058" s="8"/>
      <c r="G1058" s="8"/>
    </row>
    <row r="1059" spans="1:7" s="9" customFormat="1" ht="15" customHeight="1" x14ac:dyDescent="0.25">
      <c r="A1059" s="47"/>
      <c r="B1059" s="8"/>
      <c r="C1059" s="8"/>
      <c r="D1059" s="8"/>
      <c r="G1059" s="8"/>
    </row>
    <row r="1060" spans="1:7" s="9" customFormat="1" ht="15" customHeight="1" x14ac:dyDescent="0.25">
      <c r="A1060" s="47"/>
      <c r="B1060" s="8"/>
      <c r="C1060" s="8"/>
      <c r="D1060" s="8"/>
      <c r="G1060" s="8"/>
    </row>
    <row r="1061" spans="1:7" s="9" customFormat="1" ht="15" customHeight="1" x14ac:dyDescent="0.25">
      <c r="A1061" s="47"/>
      <c r="B1061" s="8"/>
      <c r="C1061" s="8"/>
      <c r="D1061" s="8"/>
      <c r="G1061" s="8"/>
    </row>
    <row r="1062" spans="1:7" s="9" customFormat="1" ht="15" customHeight="1" x14ac:dyDescent="0.25">
      <c r="A1062" s="47"/>
      <c r="B1062" s="8"/>
      <c r="C1062" s="8"/>
      <c r="D1062" s="8"/>
      <c r="G1062" s="8"/>
    </row>
    <row r="1063" spans="1:7" s="9" customFormat="1" ht="15" customHeight="1" x14ac:dyDescent="0.25">
      <c r="A1063" s="47"/>
      <c r="B1063" s="8"/>
      <c r="C1063" s="8"/>
      <c r="D1063" s="8"/>
      <c r="G1063" s="8"/>
    </row>
    <row r="1064" spans="1:7" s="9" customFormat="1" ht="15" customHeight="1" x14ac:dyDescent="0.25">
      <c r="A1064" s="47"/>
      <c r="B1064" s="8"/>
      <c r="C1064" s="8"/>
      <c r="D1064" s="8"/>
      <c r="G1064" s="8"/>
    </row>
    <row r="1065" spans="1:7" s="9" customFormat="1" ht="15" customHeight="1" x14ac:dyDescent="0.25">
      <c r="A1065" s="47"/>
      <c r="B1065" s="8"/>
      <c r="C1065" s="8"/>
      <c r="D1065" s="8"/>
      <c r="G1065" s="8"/>
    </row>
    <row r="1066" spans="1:7" s="9" customFormat="1" ht="15" customHeight="1" x14ac:dyDescent="0.25">
      <c r="A1066" s="47"/>
      <c r="B1066" s="8"/>
      <c r="C1066" s="8"/>
      <c r="D1066" s="8"/>
      <c r="G1066" s="8"/>
    </row>
    <row r="1067" spans="1:7" s="9" customFormat="1" ht="15" customHeight="1" x14ac:dyDescent="0.25">
      <c r="A1067" s="47"/>
      <c r="B1067" s="8"/>
      <c r="C1067" s="8"/>
      <c r="D1067" s="8"/>
      <c r="G1067" s="8"/>
    </row>
    <row r="1068" spans="1:7" s="9" customFormat="1" ht="15" customHeight="1" x14ac:dyDescent="0.25">
      <c r="A1068" s="47"/>
      <c r="B1068" s="8"/>
      <c r="C1068" s="8"/>
      <c r="D1068" s="8"/>
      <c r="G1068" s="8"/>
    </row>
    <row r="1069" spans="1:7" s="9" customFormat="1" ht="15" customHeight="1" x14ac:dyDescent="0.25">
      <c r="A1069" s="47"/>
      <c r="B1069" s="8"/>
      <c r="C1069" s="8"/>
      <c r="D1069" s="8"/>
      <c r="G1069" s="8"/>
    </row>
    <row r="1070" spans="1:7" s="9" customFormat="1" ht="15" customHeight="1" x14ac:dyDescent="0.25">
      <c r="A1070" s="47"/>
      <c r="B1070" s="8"/>
      <c r="C1070" s="8"/>
      <c r="D1070" s="8"/>
      <c r="G1070" s="8"/>
    </row>
    <row r="1071" spans="1:7" s="9" customFormat="1" ht="15" customHeight="1" x14ac:dyDescent="0.25">
      <c r="A1071" s="47"/>
      <c r="B1071" s="8"/>
      <c r="C1071" s="8"/>
      <c r="D1071" s="8"/>
      <c r="G1071" s="8"/>
    </row>
    <row r="1072" spans="1:7" s="9" customFormat="1" ht="15" customHeight="1" x14ac:dyDescent="0.25">
      <c r="A1072" s="47"/>
      <c r="B1072" s="8"/>
      <c r="C1072" s="8"/>
      <c r="D1072" s="8"/>
      <c r="G1072" s="8"/>
    </row>
    <row r="1073" spans="1:7" s="9" customFormat="1" ht="15" customHeight="1" x14ac:dyDescent="0.25">
      <c r="A1073" s="47"/>
      <c r="B1073" s="8"/>
      <c r="C1073" s="8"/>
      <c r="D1073" s="8"/>
      <c r="G1073" s="8"/>
    </row>
  </sheetData>
  <mergeCells count="4">
    <mergeCell ref="B1:G1"/>
    <mergeCell ref="B4:C4"/>
    <mergeCell ref="D4:E4"/>
    <mergeCell ref="B2:G2"/>
  </mergeCells>
  <printOptions horizontalCentered="1" verticalCentered="1"/>
  <pageMargins left="0" right="0" top="0" bottom="0" header="0.11811023622047245" footer="0"/>
  <pageSetup paperSize="9" scale="62" orientation="portrait" r:id="rId1"/>
  <headerFooter alignWithMargins="0">
    <oddHeader xml:space="preserve">&amp;C
&amp;R&amp;"-,Félkövér"&amp;11 18. melléklet a 13/2023. (V.26.) önkormányzati rendelethez 
</oddHeader>
  </headerFooter>
  <rowBreaks count="3" manualBreakCount="3">
    <brk id="50" min="1" max="6" man="1"/>
    <brk id="101" min="1" max="6" man="1"/>
    <brk id="130" max="8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0ADF3-F373-4CC2-8AE7-93BB859DAD8B}">
  <dimension ref="B1:C108"/>
  <sheetViews>
    <sheetView view="pageLayout" topLeftCell="A117" zoomScaleNormal="75" zoomScaleSheetLayoutView="75" workbookViewId="0">
      <selection activeCell="C128" sqref="C128"/>
    </sheetView>
  </sheetViews>
  <sheetFormatPr defaultColWidth="12" defaultRowHeight="15" x14ac:dyDescent="0.2"/>
  <cols>
    <col min="1" max="1" width="9.1640625" style="572" customWidth="1"/>
    <col min="2" max="2" width="82.6640625" style="572" customWidth="1"/>
    <col min="3" max="3" width="24" style="572" customWidth="1"/>
    <col min="4" max="6" width="12" style="572"/>
    <col min="7" max="7" width="22.83203125" style="572" customWidth="1"/>
    <col min="8" max="8" width="16.1640625" style="572" customWidth="1"/>
    <col min="9" max="16384" width="12" style="572"/>
  </cols>
  <sheetData>
    <row r="1" spans="2:3" ht="40.5" customHeight="1" x14ac:dyDescent="0.3">
      <c r="B1" s="1973" t="s">
        <v>655</v>
      </c>
      <c r="C1" s="1973"/>
    </row>
    <row r="2" spans="2:3" ht="43.5" customHeight="1" thickBot="1" x14ac:dyDescent="0.35">
      <c r="B2" s="700"/>
      <c r="C2" s="971" t="s">
        <v>17</v>
      </c>
    </row>
    <row r="3" spans="2:3" ht="39.950000000000003" customHeight="1" x14ac:dyDescent="0.3">
      <c r="B3" s="972" t="s">
        <v>656</v>
      </c>
      <c r="C3" s="973">
        <v>9616738</v>
      </c>
    </row>
    <row r="4" spans="2:3" s="573" customFormat="1" ht="39.950000000000003" customHeight="1" x14ac:dyDescent="0.3">
      <c r="B4" s="974" t="s">
        <v>657</v>
      </c>
      <c r="C4" s="975">
        <v>34772279</v>
      </c>
    </row>
    <row r="5" spans="2:3" ht="39.950000000000003" customHeight="1" x14ac:dyDescent="0.3">
      <c r="B5" s="976" t="s">
        <v>658</v>
      </c>
      <c r="C5" s="977">
        <v>206830</v>
      </c>
    </row>
    <row r="6" spans="2:3" ht="39.950000000000003" customHeight="1" x14ac:dyDescent="0.3">
      <c r="B6" s="978" t="s">
        <v>1196</v>
      </c>
      <c r="C6" s="979">
        <f>-8970908-487320</f>
        <v>-9458228</v>
      </c>
    </row>
    <row r="7" spans="2:3" ht="57" customHeight="1" x14ac:dyDescent="0.3">
      <c r="B7" s="980" t="s">
        <v>659</v>
      </c>
      <c r="C7" s="979">
        <v>3202</v>
      </c>
    </row>
    <row r="8" spans="2:3" s="573" customFormat="1" ht="39.950000000000003" customHeight="1" x14ac:dyDescent="0.3">
      <c r="B8" s="974" t="s">
        <v>660</v>
      </c>
      <c r="C8" s="975">
        <v>-27491395</v>
      </c>
    </row>
    <row r="9" spans="2:3" ht="39.950000000000003" customHeight="1" thickBot="1" x14ac:dyDescent="0.35">
      <c r="B9" s="981" t="s">
        <v>661</v>
      </c>
      <c r="C9" s="982">
        <f>SUM(C3:C8)</f>
        <v>7649426</v>
      </c>
    </row>
    <row r="10" spans="2:3" ht="39.950000000000003" customHeight="1" x14ac:dyDescent="0.3">
      <c r="B10" s="983" t="s">
        <v>662</v>
      </c>
      <c r="C10" s="984"/>
    </row>
    <row r="11" spans="2:3" ht="39.950000000000003" customHeight="1" x14ac:dyDescent="0.3">
      <c r="B11" s="985" t="s">
        <v>663</v>
      </c>
      <c r="C11" s="986">
        <v>395195</v>
      </c>
    </row>
    <row r="12" spans="2:3" ht="39.950000000000003" customHeight="1" thickBot="1" x14ac:dyDescent="0.35">
      <c r="B12" s="987" t="s">
        <v>664</v>
      </c>
      <c r="C12" s="988">
        <f>7254231</f>
        <v>7254231</v>
      </c>
    </row>
    <row r="13" spans="2:3" ht="35.1" customHeight="1" x14ac:dyDescent="0.2"/>
    <row r="14" spans="2:3" ht="35.1" customHeight="1" x14ac:dyDescent="0.2"/>
    <row r="15" spans="2:3" ht="35.1" customHeight="1" x14ac:dyDescent="0.2"/>
    <row r="16" spans="2:3" ht="35.1" customHeight="1" x14ac:dyDescent="0.2"/>
    <row r="17" spans="2:3" ht="35.1" customHeight="1" x14ac:dyDescent="0.2"/>
    <row r="18" spans="2:3" ht="35.1" customHeight="1" x14ac:dyDescent="0.2"/>
    <row r="19" spans="2:3" ht="35.1" customHeight="1" x14ac:dyDescent="0.2">
      <c r="B19" s="574"/>
    </row>
    <row r="20" spans="2:3" ht="35.1" customHeight="1" x14ac:dyDescent="0.2"/>
    <row r="21" spans="2:3" ht="35.1" customHeight="1" x14ac:dyDescent="0.2">
      <c r="B21" s="574"/>
      <c r="C21" s="575"/>
    </row>
    <row r="22" spans="2:3" ht="35.1" customHeight="1" x14ac:dyDescent="0.2">
      <c r="C22" s="575"/>
    </row>
    <row r="23" spans="2:3" ht="35.1" customHeight="1" x14ac:dyDescent="0.2"/>
    <row r="24" spans="2:3" ht="35.1" customHeight="1" x14ac:dyDescent="0.2">
      <c r="C24" s="49"/>
    </row>
    <row r="25" spans="2:3" ht="35.1" customHeight="1" x14ac:dyDescent="0.2">
      <c r="B25"/>
      <c r="C25" s="49"/>
    </row>
    <row r="26" spans="2:3" ht="35.1" customHeight="1" x14ac:dyDescent="0.2">
      <c r="B26"/>
      <c r="C26" s="49"/>
    </row>
    <row r="27" spans="2:3" ht="35.1" customHeight="1" x14ac:dyDescent="0.2">
      <c r="B27"/>
      <c r="C27" s="49"/>
    </row>
    <row r="28" spans="2:3" ht="35.1" customHeight="1" x14ac:dyDescent="0.2">
      <c r="C28" s="49"/>
    </row>
    <row r="29" spans="2:3" ht="35.1" customHeight="1" x14ac:dyDescent="0.2">
      <c r="C29" s="49"/>
    </row>
    <row r="30" spans="2:3" ht="35.1" customHeight="1" x14ac:dyDescent="0.2">
      <c r="C30" s="49"/>
    </row>
    <row r="31" spans="2:3" ht="35.1" customHeight="1" x14ac:dyDescent="0.2">
      <c r="C31" s="49"/>
    </row>
    <row r="32" spans="2:3" ht="35.1" customHeight="1" x14ac:dyDescent="0.2">
      <c r="C32" s="49"/>
    </row>
    <row r="33" spans="3:3" ht="35.1" customHeight="1" x14ac:dyDescent="0.2">
      <c r="C33" s="49"/>
    </row>
    <row r="34" spans="3:3" ht="35.1" customHeight="1" x14ac:dyDescent="0.2">
      <c r="C34" s="49"/>
    </row>
    <row r="35" spans="3:3" ht="35.1" customHeight="1" x14ac:dyDescent="0.2">
      <c r="C35" s="49"/>
    </row>
    <row r="36" spans="3:3" ht="35.1" customHeight="1" x14ac:dyDescent="0.2">
      <c r="C36" s="49"/>
    </row>
    <row r="37" spans="3:3" ht="35.1" customHeight="1" x14ac:dyDescent="0.2">
      <c r="C37" s="49"/>
    </row>
    <row r="38" spans="3:3" ht="35.1" customHeight="1" x14ac:dyDescent="0.2">
      <c r="C38" s="49"/>
    </row>
    <row r="39" spans="3:3" ht="35.1" customHeight="1" x14ac:dyDescent="0.2">
      <c r="C39" s="49"/>
    </row>
    <row r="40" spans="3:3" ht="35.1" customHeight="1" x14ac:dyDescent="0.2">
      <c r="C40" s="49"/>
    </row>
    <row r="41" spans="3:3" ht="35.1" customHeight="1" x14ac:dyDescent="0.2">
      <c r="C41" s="49"/>
    </row>
    <row r="42" spans="3:3" ht="35.1" customHeight="1" x14ac:dyDescent="0.2">
      <c r="C42" s="49"/>
    </row>
    <row r="43" spans="3:3" ht="35.1" customHeight="1" x14ac:dyDescent="0.2">
      <c r="C43" s="49"/>
    </row>
    <row r="44" spans="3:3" ht="35.1" customHeight="1" x14ac:dyDescent="0.2">
      <c r="C44" s="49"/>
    </row>
    <row r="45" spans="3:3" ht="35.1" customHeight="1" x14ac:dyDescent="0.2">
      <c r="C45" s="49"/>
    </row>
    <row r="46" spans="3:3" ht="35.1" customHeight="1" x14ac:dyDescent="0.2">
      <c r="C46" s="49"/>
    </row>
    <row r="47" spans="3:3" ht="35.1" customHeight="1" x14ac:dyDescent="0.2">
      <c r="C47" s="49"/>
    </row>
    <row r="48" spans="3:3" ht="35.1" customHeight="1" x14ac:dyDescent="0.2">
      <c r="C48" s="49"/>
    </row>
    <row r="49" spans="3:3" ht="35.1" customHeight="1" x14ac:dyDescent="0.2">
      <c r="C49" s="49"/>
    </row>
    <row r="50" spans="3:3" ht="63" customHeight="1" x14ac:dyDescent="0.2">
      <c r="C50" s="49"/>
    </row>
    <row r="51" spans="3:3" ht="35.1" customHeight="1" x14ac:dyDescent="0.2">
      <c r="C51" s="49"/>
    </row>
    <row r="52" spans="3:3" x14ac:dyDescent="0.2">
      <c r="C52" s="49"/>
    </row>
    <row r="53" spans="3:3" ht="35.1" customHeight="1" x14ac:dyDescent="0.2">
      <c r="C53" s="49"/>
    </row>
    <row r="54" spans="3:3" ht="35.1" customHeight="1" x14ac:dyDescent="0.2">
      <c r="C54" s="49"/>
    </row>
    <row r="55" spans="3:3" ht="35.1" customHeight="1" x14ac:dyDescent="0.2">
      <c r="C55" s="49"/>
    </row>
    <row r="56" spans="3:3" ht="35.1" customHeight="1" x14ac:dyDescent="0.2">
      <c r="C56" s="49"/>
    </row>
    <row r="57" spans="3:3" ht="35.1" customHeight="1" x14ac:dyDescent="0.2">
      <c r="C57" s="49"/>
    </row>
    <row r="58" spans="3:3" ht="35.1" customHeight="1" x14ac:dyDescent="0.2">
      <c r="C58" s="49"/>
    </row>
    <row r="59" spans="3:3" ht="35.1" customHeight="1" x14ac:dyDescent="0.2">
      <c r="C59" s="49"/>
    </row>
    <row r="60" spans="3:3" ht="35.1" customHeight="1" x14ac:dyDescent="0.2">
      <c r="C60" s="49"/>
    </row>
    <row r="61" spans="3:3" ht="35.1" customHeight="1" x14ac:dyDescent="0.2">
      <c r="C61" s="49"/>
    </row>
    <row r="62" spans="3:3" ht="35.1" customHeight="1" x14ac:dyDescent="0.2">
      <c r="C62" s="49"/>
    </row>
    <row r="63" spans="3:3" ht="35.1" customHeight="1" x14ac:dyDescent="0.2">
      <c r="C63" s="49"/>
    </row>
    <row r="64" spans="3:3" ht="35.1" customHeight="1" x14ac:dyDescent="0.2">
      <c r="C64" s="49"/>
    </row>
    <row r="65" spans="3:3" ht="35.1" customHeight="1" x14ac:dyDescent="0.2">
      <c r="C65" s="49"/>
    </row>
    <row r="66" spans="3:3" ht="35.1" customHeight="1" x14ac:dyDescent="0.2">
      <c r="C66" s="49"/>
    </row>
    <row r="67" spans="3:3" ht="35.1" customHeight="1" x14ac:dyDescent="0.2">
      <c r="C67" s="49"/>
    </row>
    <row r="68" spans="3:3" ht="35.1" customHeight="1" x14ac:dyDescent="0.2">
      <c r="C68" s="49"/>
    </row>
    <row r="69" spans="3:3" ht="35.1" customHeight="1" x14ac:dyDescent="0.2">
      <c r="C69" s="49"/>
    </row>
    <row r="70" spans="3:3" ht="35.1" customHeight="1" x14ac:dyDescent="0.2">
      <c r="C70" s="49"/>
    </row>
    <row r="71" spans="3:3" ht="35.1" customHeight="1" x14ac:dyDescent="0.2">
      <c r="C71" s="49"/>
    </row>
    <row r="72" spans="3:3" ht="35.1" customHeight="1" x14ac:dyDescent="0.2">
      <c r="C72" s="49"/>
    </row>
    <row r="73" spans="3:3" ht="35.1" customHeight="1" x14ac:dyDescent="0.2">
      <c r="C73" s="49"/>
    </row>
    <row r="74" spans="3:3" ht="35.1" customHeight="1" x14ac:dyDescent="0.2">
      <c r="C74" s="49"/>
    </row>
    <row r="75" spans="3:3" ht="35.1" customHeight="1" x14ac:dyDescent="0.2">
      <c r="C75" s="49"/>
    </row>
    <row r="76" spans="3:3" ht="35.1" customHeight="1" x14ac:dyDescent="0.2">
      <c r="C76" s="49"/>
    </row>
    <row r="77" spans="3:3" ht="35.1" customHeight="1" x14ac:dyDescent="0.2">
      <c r="C77" s="49"/>
    </row>
    <row r="78" spans="3:3" ht="35.1" customHeight="1" x14ac:dyDescent="0.2">
      <c r="C78" s="49"/>
    </row>
    <row r="79" spans="3:3" ht="35.1" customHeight="1" x14ac:dyDescent="0.2">
      <c r="C79" s="49"/>
    </row>
    <row r="80" spans="3:3" ht="35.1" customHeight="1" x14ac:dyDescent="0.2">
      <c r="C80" s="49"/>
    </row>
    <row r="81" spans="3:3" ht="35.1" customHeight="1" x14ac:dyDescent="0.2">
      <c r="C81" s="49"/>
    </row>
    <row r="82" spans="3:3" ht="35.1" customHeight="1" x14ac:dyDescent="0.2">
      <c r="C82" s="49"/>
    </row>
    <row r="83" spans="3:3" ht="35.1" customHeight="1" x14ac:dyDescent="0.2">
      <c r="C83" s="49"/>
    </row>
    <row r="84" spans="3:3" ht="35.1" customHeight="1" x14ac:dyDescent="0.2">
      <c r="C84" s="49"/>
    </row>
    <row r="85" spans="3:3" ht="70.5" customHeight="1" x14ac:dyDescent="0.2">
      <c r="C85" s="49"/>
    </row>
    <row r="86" spans="3:3" ht="70.5" customHeight="1" x14ac:dyDescent="0.2">
      <c r="C86" s="49"/>
    </row>
    <row r="87" spans="3:3" ht="35.1" customHeight="1" x14ac:dyDescent="0.2">
      <c r="C87" s="49"/>
    </row>
    <row r="88" spans="3:3" ht="35.1" customHeight="1" x14ac:dyDescent="0.2">
      <c r="C88" s="49"/>
    </row>
    <row r="89" spans="3:3" ht="35.1" customHeight="1" x14ac:dyDescent="0.2">
      <c r="C89" s="49"/>
    </row>
    <row r="90" spans="3:3" ht="35.1" customHeight="1" x14ac:dyDescent="0.2">
      <c r="C90" s="49"/>
    </row>
    <row r="91" spans="3:3" ht="35.1" customHeight="1" x14ac:dyDescent="0.2">
      <c r="C91" s="49"/>
    </row>
    <row r="92" spans="3:3" ht="35.1" customHeight="1" x14ac:dyDescent="0.2">
      <c r="C92" s="49"/>
    </row>
    <row r="93" spans="3:3" ht="35.1" customHeight="1" x14ac:dyDescent="0.2">
      <c r="C93" s="49"/>
    </row>
    <row r="94" spans="3:3" ht="35.1" customHeight="1" x14ac:dyDescent="0.2">
      <c r="C94" s="49"/>
    </row>
    <row r="95" spans="3:3" ht="35.1" customHeight="1" x14ac:dyDescent="0.2">
      <c r="C95" s="49"/>
    </row>
    <row r="96" spans="3:3" ht="35.1" customHeight="1" x14ac:dyDescent="0.2">
      <c r="C96" s="49"/>
    </row>
    <row r="97" ht="35.1" customHeight="1" x14ac:dyDescent="0.2"/>
    <row r="98" ht="70.5" customHeight="1" x14ac:dyDescent="0.2"/>
    <row r="99" ht="70.5" customHeight="1" x14ac:dyDescent="0.2"/>
    <row r="100" ht="69" customHeight="1" x14ac:dyDescent="0.2"/>
    <row r="101" ht="35.1" customHeight="1" x14ac:dyDescent="0.2"/>
    <row r="102" ht="75" customHeight="1" x14ac:dyDescent="0.2"/>
    <row r="103" ht="35.1" customHeight="1" x14ac:dyDescent="0.2"/>
    <row r="104" ht="35.1" customHeight="1" x14ac:dyDescent="0.2"/>
    <row r="105" ht="35.1" customHeight="1" x14ac:dyDescent="0.2"/>
    <row r="106" ht="35.1" customHeight="1" x14ac:dyDescent="0.2"/>
    <row r="107" ht="35.1" customHeight="1" x14ac:dyDescent="0.2"/>
    <row r="108" ht="19.5" customHeight="1" x14ac:dyDescent="0.2"/>
  </sheetData>
  <mergeCells count="1">
    <mergeCell ref="B1:C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 alignWithMargins="0">
    <oddHeader xml:space="preserve">&amp;R&amp;"Arial CE,Normál"&amp;11 &amp;10 &amp;"Abadi,Félkövér"&amp;11 19. melléklet a 13/2023. (V.26.) önkormányzati rendelethez </oddHeader>
  </headerFooter>
  <rowBreaks count="1" manualBreakCount="1">
    <brk id="29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2"/>
  <sheetViews>
    <sheetView view="pageLayout" topLeftCell="H26" zoomScaleNormal="75" workbookViewId="0">
      <selection activeCell="K31" sqref="K31"/>
    </sheetView>
  </sheetViews>
  <sheetFormatPr defaultColWidth="9.33203125" defaultRowHeight="15" customHeight="1" x14ac:dyDescent="0.25"/>
  <cols>
    <col min="1" max="1" width="3.1640625" style="19" customWidth="1"/>
    <col min="2" max="2" width="5" style="19" customWidth="1"/>
    <col min="3" max="3" width="84.1640625" style="19" customWidth="1"/>
    <col min="4" max="4" width="26.1640625" style="19" customWidth="1"/>
    <col min="5" max="5" width="26.6640625" style="19" customWidth="1"/>
    <col min="6" max="6" width="25.83203125" style="19" customWidth="1"/>
    <col min="7" max="7" width="27.33203125" style="19" bestFit="1" customWidth="1"/>
    <col min="8" max="8" width="8.5" style="19" customWidth="1"/>
    <col min="9" max="9" width="115.83203125" style="19" customWidth="1"/>
    <col min="10" max="10" width="26.5" style="19" customWidth="1"/>
    <col min="11" max="11" width="26" style="19" customWidth="1"/>
    <col min="12" max="12" width="24.5" style="19" customWidth="1"/>
    <col min="13" max="13" width="23.83203125" style="19" customWidth="1"/>
    <col min="14" max="14" width="17.5" style="19" customWidth="1"/>
    <col min="15" max="15" width="9.33203125" style="19"/>
    <col min="16" max="16" width="34.33203125" style="19" customWidth="1"/>
    <col min="17" max="16384" width="9.33203125" style="19"/>
  </cols>
  <sheetData>
    <row r="1" spans="1:13" ht="15" customHeight="1" x14ac:dyDescent="0.25">
      <c r="C1" s="20"/>
    </row>
    <row r="2" spans="1:13" ht="28.5" customHeight="1" x14ac:dyDescent="0.35">
      <c r="A2" s="1984" t="s">
        <v>191</v>
      </c>
      <c r="B2" s="1984"/>
      <c r="C2" s="1984"/>
      <c r="D2" s="1984"/>
      <c r="E2" s="1984"/>
      <c r="F2" s="1984"/>
      <c r="G2" s="1984"/>
      <c r="H2" s="1984"/>
      <c r="I2" s="1984"/>
      <c r="J2" s="1984"/>
      <c r="K2" s="1984"/>
      <c r="L2" s="1984"/>
      <c r="M2" s="1984"/>
    </row>
    <row r="3" spans="1:13" ht="21" customHeight="1" thickBot="1" x14ac:dyDescent="0.3">
      <c r="A3" s="185"/>
      <c r="B3" s="185"/>
      <c r="C3" s="185"/>
      <c r="D3" s="186"/>
      <c r="E3" s="186"/>
      <c r="F3" s="61"/>
      <c r="G3" s="61"/>
      <c r="H3" s="185"/>
      <c r="I3" s="185"/>
      <c r="J3" s="61"/>
      <c r="K3" s="61"/>
      <c r="L3" s="152"/>
      <c r="M3" s="61" t="s">
        <v>17</v>
      </c>
    </row>
    <row r="4" spans="1:13" ht="24" customHeight="1" x14ac:dyDescent="0.35">
      <c r="A4" s="74" t="s">
        <v>214</v>
      </c>
      <c r="B4" s="281"/>
      <c r="C4" s="538"/>
      <c r="D4" s="1985" t="s">
        <v>515</v>
      </c>
      <c r="E4" s="1985"/>
      <c r="F4" s="1767" t="s">
        <v>340</v>
      </c>
      <c r="G4" s="1848" t="s">
        <v>100</v>
      </c>
      <c r="H4" s="1846" t="s">
        <v>215</v>
      </c>
      <c r="I4" s="435"/>
      <c r="J4" s="1985" t="s">
        <v>515</v>
      </c>
      <c r="K4" s="1985"/>
      <c r="L4" s="1767" t="s">
        <v>340</v>
      </c>
      <c r="M4" s="1768" t="s">
        <v>100</v>
      </c>
    </row>
    <row r="5" spans="1:13" ht="24.75" customHeight="1" thickBot="1" x14ac:dyDescent="0.4">
      <c r="A5" s="187"/>
      <c r="B5" s="539"/>
      <c r="C5" s="539"/>
      <c r="D5" s="1769" t="s">
        <v>202</v>
      </c>
      <c r="E5" s="1769" t="s">
        <v>98</v>
      </c>
      <c r="F5" s="1770" t="s">
        <v>99</v>
      </c>
      <c r="G5" s="1852" t="s">
        <v>101</v>
      </c>
      <c r="H5" s="1853"/>
      <c r="I5" s="329"/>
      <c r="J5" s="1769" t="s">
        <v>202</v>
      </c>
      <c r="K5" s="1769" t="s">
        <v>98</v>
      </c>
      <c r="L5" s="1770" t="s">
        <v>99</v>
      </c>
      <c r="M5" s="1771" t="s">
        <v>101</v>
      </c>
    </row>
    <row r="6" spans="1:13" ht="30" customHeight="1" x14ac:dyDescent="0.35">
      <c r="A6" s="933" t="s">
        <v>220</v>
      </c>
      <c r="B6" s="1751"/>
      <c r="C6" s="1751"/>
      <c r="D6" s="1756">
        <f>+'3 bev.részl'!G91</f>
        <v>1683455</v>
      </c>
      <c r="E6" s="1756">
        <f>+'3 bev.részl'!H91</f>
        <v>3086361</v>
      </c>
      <c r="F6" s="1756">
        <f>+'3 bev.részl'!I91</f>
        <v>2885628</v>
      </c>
      <c r="G6" s="1757">
        <f>+F6/E6*100</f>
        <v>93.496126992273417</v>
      </c>
      <c r="H6" s="962" t="s">
        <v>11</v>
      </c>
      <c r="I6" s="1760"/>
      <c r="J6" s="1772">
        <f>+'8 okt.'!D29</f>
        <v>3804626</v>
      </c>
      <c r="K6" s="1772">
        <f>+'8 okt.'!E29</f>
        <v>4066721</v>
      </c>
      <c r="L6" s="1772">
        <f>+'8 okt.'!F29</f>
        <v>3820074</v>
      </c>
      <c r="M6" s="1773">
        <f>+L6/K6*100</f>
        <v>93.934990868564626</v>
      </c>
    </row>
    <row r="7" spans="1:13" ht="30" customHeight="1" x14ac:dyDescent="0.35">
      <c r="A7" s="944" t="s">
        <v>156</v>
      </c>
      <c r="B7" s="1752"/>
      <c r="C7" s="1752"/>
      <c r="D7" s="1758">
        <f>+'3 bev.részl'!G44</f>
        <v>6748746</v>
      </c>
      <c r="E7" s="1758">
        <f>+'3 bev.részl'!H44</f>
        <v>7307263</v>
      </c>
      <c r="F7" s="1758">
        <f>+'3 bev.részl'!I44</f>
        <v>7307303</v>
      </c>
      <c r="G7" s="1759">
        <f>+F7/E7*100</f>
        <v>100.00054740057939</v>
      </c>
      <c r="H7" s="944" t="s">
        <v>162</v>
      </c>
      <c r="I7" s="1761"/>
      <c r="J7" s="1774">
        <f>+'9 kult.'!C67</f>
        <v>2374252</v>
      </c>
      <c r="K7" s="1774">
        <f>+'9 kult.'!D67</f>
        <v>3490029</v>
      </c>
      <c r="L7" s="1774">
        <f>+'9 kult.'!E67</f>
        <v>3080306</v>
      </c>
      <c r="M7" s="1775">
        <f>+L7/K7*100</f>
        <v>88.260183511369107</v>
      </c>
    </row>
    <row r="8" spans="1:13" ht="30" customHeight="1" x14ac:dyDescent="0.35">
      <c r="A8" s="944" t="s">
        <v>163</v>
      </c>
      <c r="B8" s="1752"/>
      <c r="C8" s="1752"/>
      <c r="D8" s="1758">
        <f>+'3 bev.részl'!G109</f>
        <v>0</v>
      </c>
      <c r="E8" s="1758">
        <f>+'3 bev.részl'!H109</f>
        <v>192098</v>
      </c>
      <c r="F8" s="1758">
        <f>+'3 bev.részl'!I109</f>
        <v>70489</v>
      </c>
      <c r="G8" s="1759">
        <f>+F8/E8*100</f>
        <v>36.694291455402976</v>
      </c>
      <c r="H8" s="944" t="s">
        <v>75</v>
      </c>
      <c r="I8" s="1762"/>
      <c r="J8" s="1774">
        <f>+'10 szoc.'!C37</f>
        <v>1392206</v>
      </c>
      <c r="K8" s="1774">
        <f>+'10 szoc.'!D37</f>
        <v>1871421</v>
      </c>
      <c r="L8" s="1774">
        <f>+'10 szoc.'!E37</f>
        <v>1676934</v>
      </c>
      <c r="M8" s="1775">
        <f t="shared" ref="M8:M24" si="0">+L8/K8*100</f>
        <v>89.607522839596214</v>
      </c>
    </row>
    <row r="9" spans="1:13" ht="30" customHeight="1" x14ac:dyDescent="0.35">
      <c r="A9" s="944" t="s">
        <v>91</v>
      </c>
      <c r="B9" s="1752"/>
      <c r="C9" s="1752"/>
      <c r="D9" s="1758">
        <f>+'3 bev.részl'!G57</f>
        <v>9460000</v>
      </c>
      <c r="E9" s="1758">
        <f>+'3 bev.részl'!H57</f>
        <v>10565235</v>
      </c>
      <c r="F9" s="1758">
        <f>+'3 bev.részl'!I57</f>
        <v>10562155</v>
      </c>
      <c r="G9" s="1759">
        <f>+F9/E9*100</f>
        <v>99.970847785212541</v>
      </c>
      <c r="H9" s="944" t="s">
        <v>86</v>
      </c>
      <c r="I9" s="1762"/>
      <c r="J9" s="1774">
        <f>+'11 eü.'!C22</f>
        <v>1200497</v>
      </c>
      <c r="K9" s="1774">
        <f>+'11 eü.'!D22</f>
        <v>1345856</v>
      </c>
      <c r="L9" s="1774">
        <f>+'11 eü.'!E22</f>
        <v>1167801</v>
      </c>
      <c r="M9" s="1775">
        <f t="shared" si="0"/>
        <v>86.770129939607216</v>
      </c>
    </row>
    <row r="10" spans="1:13" ht="30" customHeight="1" x14ac:dyDescent="0.35">
      <c r="A10" s="944" t="s">
        <v>375</v>
      </c>
      <c r="B10" s="1752"/>
      <c r="C10" s="1752"/>
      <c r="D10" s="1758">
        <f>+'3 bev.részl'!G122</f>
        <v>1736246</v>
      </c>
      <c r="E10" s="1758">
        <f>+'3 bev.részl'!H122</f>
        <v>2436632</v>
      </c>
      <c r="F10" s="1758">
        <f>+'3 bev.részl'!I122</f>
        <v>2436232</v>
      </c>
      <c r="G10" s="1759">
        <f>+F10/E10*100</f>
        <v>99.983583897773656</v>
      </c>
      <c r="H10" s="944" t="s">
        <v>373</v>
      </c>
      <c r="I10" s="1762"/>
      <c r="J10" s="1774">
        <f>+'12 Gyerm.'!C15</f>
        <v>1174692</v>
      </c>
      <c r="K10" s="1774">
        <f>+'12 Gyerm.'!D15</f>
        <v>1227150</v>
      </c>
      <c r="L10" s="1774">
        <f>+'12 Gyerm.'!E15</f>
        <v>1218251</v>
      </c>
      <c r="M10" s="1775">
        <f t="shared" si="0"/>
        <v>99.274823778674161</v>
      </c>
    </row>
    <row r="11" spans="1:13" ht="30" customHeight="1" x14ac:dyDescent="0.35">
      <c r="A11" s="933"/>
      <c r="B11" s="962"/>
      <c r="C11" s="962"/>
      <c r="D11" s="1756"/>
      <c r="E11" s="1756"/>
      <c r="F11" s="1756"/>
      <c r="G11" s="1802"/>
      <c r="H11" s="944" t="s">
        <v>374</v>
      </c>
      <c r="I11" s="1761"/>
      <c r="J11" s="1774">
        <f>+'13 egyéb'!C98</f>
        <v>8747135</v>
      </c>
      <c r="K11" s="1774">
        <f>+'13 egyéb'!D98</f>
        <v>10046815</v>
      </c>
      <c r="L11" s="1774">
        <f>+'13 egyéb'!E98</f>
        <v>9986935</v>
      </c>
      <c r="M11" s="1775">
        <f t="shared" si="0"/>
        <v>99.403990219786081</v>
      </c>
    </row>
    <row r="12" spans="1:13" ht="30" customHeight="1" x14ac:dyDescent="0.35">
      <c r="A12" s="933"/>
      <c r="B12" s="962"/>
      <c r="C12" s="962"/>
      <c r="D12" s="1756"/>
      <c r="E12" s="1756"/>
      <c r="F12" s="1756"/>
      <c r="G12" s="1803"/>
      <c r="H12" s="944" t="s">
        <v>201</v>
      </c>
      <c r="I12" s="1763"/>
      <c r="J12" s="1774">
        <f>+'14 sport'!C23</f>
        <v>817577</v>
      </c>
      <c r="K12" s="1774">
        <f>+'14 sport'!D23</f>
        <v>929533</v>
      </c>
      <c r="L12" s="1774">
        <f>+'14 sport'!E23</f>
        <v>907654</v>
      </c>
      <c r="M12" s="1775">
        <f t="shared" si="0"/>
        <v>97.646237411689526</v>
      </c>
    </row>
    <row r="13" spans="1:13" ht="30" customHeight="1" x14ac:dyDescent="0.35">
      <c r="A13" s="933"/>
      <c r="B13" s="447"/>
      <c r="C13" s="962"/>
      <c r="D13" s="1756"/>
      <c r="E13" s="1756"/>
      <c r="F13" s="1756"/>
      <c r="G13" s="1803"/>
      <c r="H13" s="944" t="s">
        <v>164</v>
      </c>
      <c r="I13" s="1764"/>
      <c r="J13" s="1774">
        <f>+'15 város.ü.,körny'!G27</f>
        <v>1271289</v>
      </c>
      <c r="K13" s="1774">
        <f>+'15 város.ü.,körny'!H27</f>
        <v>1416771</v>
      </c>
      <c r="L13" s="1774">
        <f>+'15 város.ü.,körny'!I27</f>
        <v>1197724</v>
      </c>
      <c r="M13" s="1775">
        <f t="shared" si="0"/>
        <v>84.53899748089141</v>
      </c>
    </row>
    <row r="14" spans="1:13" ht="30" customHeight="1" x14ac:dyDescent="0.35">
      <c r="A14" s="933"/>
      <c r="B14" s="447"/>
      <c r="C14" s="962"/>
      <c r="D14" s="1756"/>
      <c r="E14" s="1756"/>
      <c r="F14" s="1756"/>
      <c r="G14" s="1803"/>
      <c r="H14" s="944" t="s">
        <v>192</v>
      </c>
      <c r="I14" s="1764"/>
      <c r="J14" s="1774">
        <f>+'16 út-híd'!C29</f>
        <v>350000</v>
      </c>
      <c r="K14" s="1774">
        <f>+'16 út-híd'!D29</f>
        <v>549911</v>
      </c>
      <c r="L14" s="1774">
        <f>+'16 út-híd'!E29</f>
        <v>386809</v>
      </c>
      <c r="M14" s="1775">
        <f t="shared" si="0"/>
        <v>70.340291428976684</v>
      </c>
    </row>
    <row r="15" spans="1:13" ht="30" customHeight="1" x14ac:dyDescent="0.35">
      <c r="A15" s="933"/>
      <c r="B15" s="447"/>
      <c r="C15" s="962"/>
      <c r="D15" s="1756"/>
      <c r="E15" s="1756"/>
      <c r="F15" s="1756"/>
      <c r="G15" s="1803"/>
      <c r="H15" s="384" t="s">
        <v>56</v>
      </c>
      <c r="I15" s="962"/>
      <c r="J15" s="1772"/>
      <c r="K15" s="1772"/>
      <c r="L15" s="1772"/>
      <c r="M15" s="1775"/>
    </row>
    <row r="16" spans="1:13" ht="30" customHeight="1" x14ac:dyDescent="0.35">
      <c r="A16" s="316"/>
      <c r="B16" s="1751"/>
      <c r="C16" s="1751"/>
      <c r="D16" s="1756"/>
      <c r="E16" s="1756"/>
      <c r="F16" s="1756"/>
      <c r="G16" s="1803"/>
      <c r="H16" s="962"/>
      <c r="I16" s="1752" t="s">
        <v>221</v>
      </c>
      <c r="J16" s="1758">
        <v>142714</v>
      </c>
      <c r="K16" s="1758">
        <v>0</v>
      </c>
      <c r="L16" s="1758"/>
      <c r="M16" s="1775"/>
    </row>
    <row r="17" spans="1:13" ht="30" customHeight="1" x14ac:dyDescent="0.35">
      <c r="A17" s="316"/>
      <c r="B17" s="1751"/>
      <c r="C17" s="1751"/>
      <c r="D17" s="1756"/>
      <c r="E17" s="1756"/>
      <c r="F17" s="1756"/>
      <c r="G17" s="1803"/>
      <c r="H17" s="962"/>
      <c r="I17" s="1765" t="s">
        <v>229</v>
      </c>
      <c r="J17" s="1758"/>
      <c r="K17" s="1758"/>
      <c r="L17" s="1758"/>
      <c r="M17" s="1775"/>
    </row>
    <row r="18" spans="1:13" ht="30" customHeight="1" x14ac:dyDescent="0.35">
      <c r="A18" s="316"/>
      <c r="B18" s="1751"/>
      <c r="C18" s="1751"/>
      <c r="D18" s="1756"/>
      <c r="E18" s="1756"/>
      <c r="F18" s="1756"/>
      <c r="G18" s="1803"/>
      <c r="H18" s="962"/>
      <c r="I18" s="1765" t="s">
        <v>561</v>
      </c>
      <c r="J18" s="1776"/>
      <c r="K18" s="1776">
        <v>0</v>
      </c>
      <c r="L18" s="1777"/>
      <c r="M18" s="1775"/>
    </row>
    <row r="19" spans="1:13" ht="30" customHeight="1" x14ac:dyDescent="0.35">
      <c r="A19" s="316"/>
      <c r="B19" s="1751"/>
      <c r="C19" s="1751"/>
      <c r="D19" s="1756"/>
      <c r="E19" s="1756"/>
      <c r="F19" s="1756"/>
      <c r="G19" s="1803"/>
      <c r="H19" s="962"/>
      <c r="I19" s="1765" t="s">
        <v>562</v>
      </c>
      <c r="J19" s="1776"/>
      <c r="K19" s="1776">
        <v>450000</v>
      </c>
      <c r="L19" s="1777"/>
      <c r="M19" s="1775">
        <f t="shared" si="0"/>
        <v>0</v>
      </c>
    </row>
    <row r="20" spans="1:13" ht="30" customHeight="1" x14ac:dyDescent="0.35">
      <c r="A20" s="316"/>
      <c r="B20" s="1751"/>
      <c r="C20" s="1751"/>
      <c r="D20" s="1756"/>
      <c r="E20" s="1756"/>
      <c r="F20" s="1756"/>
      <c r="G20" s="1803"/>
      <c r="H20" s="962"/>
      <c r="I20" s="1765" t="s">
        <v>563</v>
      </c>
      <c r="J20" s="1776"/>
      <c r="K20" s="1778">
        <v>101564</v>
      </c>
      <c r="L20" s="1777"/>
      <c r="M20" s="1775">
        <f t="shared" si="0"/>
        <v>0</v>
      </c>
    </row>
    <row r="21" spans="1:13" ht="30" customHeight="1" x14ac:dyDescent="0.35">
      <c r="A21" s="316"/>
      <c r="B21" s="1751"/>
      <c r="C21" s="1751"/>
      <c r="D21" s="1756"/>
      <c r="E21" s="1756"/>
      <c r="F21" s="1756"/>
      <c r="G21" s="1803"/>
      <c r="H21" s="962"/>
      <c r="I21" s="1766" t="s">
        <v>410</v>
      </c>
      <c r="J21" s="1776">
        <v>1753</v>
      </c>
      <c r="K21" s="1776">
        <v>0</v>
      </c>
      <c r="L21" s="1777"/>
      <c r="M21" s="1775"/>
    </row>
    <row r="22" spans="1:13" ht="30" customHeight="1" x14ac:dyDescent="0.35">
      <c r="A22" s="316"/>
      <c r="B22" s="1751"/>
      <c r="C22" s="1751"/>
      <c r="D22" s="1756"/>
      <c r="E22" s="1756"/>
      <c r="F22" s="1756"/>
      <c r="G22" s="1803"/>
      <c r="H22" s="962"/>
      <c r="I22" s="1766" t="s">
        <v>517</v>
      </c>
      <c r="J22" s="1776">
        <v>96412</v>
      </c>
      <c r="K22" s="1776">
        <v>0</v>
      </c>
      <c r="L22" s="1758"/>
      <c r="M22" s="1775"/>
    </row>
    <row r="23" spans="1:13" ht="30" customHeight="1" thickBot="1" x14ac:dyDescent="0.4">
      <c r="A23" s="968"/>
      <c r="B23" s="962"/>
      <c r="C23" s="447"/>
      <c r="D23" s="1756"/>
      <c r="E23" s="1756"/>
      <c r="F23" s="1756"/>
      <c r="G23" s="1803"/>
      <c r="H23" s="447"/>
      <c r="I23" s="1765" t="s">
        <v>646</v>
      </c>
      <c r="J23" s="1756"/>
      <c r="K23" s="1756">
        <v>1697768</v>
      </c>
      <c r="L23" s="1756"/>
      <c r="M23" s="1779">
        <f t="shared" si="0"/>
        <v>0</v>
      </c>
    </row>
    <row r="24" spans="1:13" ht="30" customHeight="1" thickBot="1" x14ac:dyDescent="0.4">
      <c r="A24" s="1753"/>
      <c r="B24" s="1754"/>
      <c r="C24" s="1755"/>
      <c r="D24" s="1804"/>
      <c r="E24" s="1804"/>
      <c r="F24" s="1804"/>
      <c r="G24" s="1805"/>
      <c r="H24" s="966" t="s">
        <v>165</v>
      </c>
      <c r="I24" s="331"/>
      <c r="J24" s="1780">
        <f>SUM(J16:J23)</f>
        <v>240879</v>
      </c>
      <c r="K24" s="1780">
        <f>SUM(K16:K23)</f>
        <v>2249332</v>
      </c>
      <c r="L24" s="1780">
        <f>SUM(L16:L23)</f>
        <v>0</v>
      </c>
      <c r="M24" s="1781">
        <f t="shared" si="0"/>
        <v>0</v>
      </c>
    </row>
    <row r="25" spans="1:13" ht="30" customHeight="1" thickBot="1" x14ac:dyDescent="0.4">
      <c r="A25" s="1986" t="s">
        <v>166</v>
      </c>
      <c r="B25" s="1987"/>
      <c r="C25" s="1988"/>
      <c r="D25" s="1806">
        <f>SUM(D6:D24)</f>
        <v>19628447</v>
      </c>
      <c r="E25" s="1806">
        <f>SUM(E6:E24)</f>
        <v>23587589</v>
      </c>
      <c r="F25" s="1806">
        <f>SUM(F6:F24)</f>
        <v>23261807</v>
      </c>
      <c r="G25" s="1807">
        <f>+F25/E25*100</f>
        <v>98.61884145937934</v>
      </c>
      <c r="H25" s="1976" t="s">
        <v>199</v>
      </c>
      <c r="I25" s="1978"/>
      <c r="J25" s="1782">
        <f>+J24+J14+J13+J12+J11+J10+J9+J8+J7+J6</f>
        <v>21373153</v>
      </c>
      <c r="K25" s="1782">
        <f>+K24+K14+K13+K12+K11+K10+K9+K8+K7+K6</f>
        <v>27193539</v>
      </c>
      <c r="L25" s="1782">
        <f>+L24+L14+L13+L12+L11+L10+L9+L8+L7+L6</f>
        <v>23442488</v>
      </c>
      <c r="M25" s="1783">
        <f>+L25/K25*100</f>
        <v>86.206094763906975</v>
      </c>
    </row>
    <row r="26" spans="1:13" ht="21.75" thickBot="1" x14ac:dyDescent="0.4">
      <c r="A26" s="189"/>
      <c r="B26" s="189"/>
      <c r="C26" s="189"/>
      <c r="D26" s="1808"/>
      <c r="E26" s="1808"/>
      <c r="F26" s="1808"/>
      <c r="G26" s="1808"/>
      <c r="H26" s="189"/>
      <c r="I26" s="189"/>
      <c r="J26" s="1883"/>
      <c r="K26" s="1883"/>
      <c r="L26" s="1883"/>
      <c r="M26" s="1884" t="s">
        <v>17</v>
      </c>
    </row>
    <row r="27" spans="1:13" ht="24.75" customHeight="1" x14ac:dyDescent="0.35">
      <c r="A27" s="540"/>
      <c r="B27" s="541"/>
      <c r="C27" s="541" t="s">
        <v>266</v>
      </c>
      <c r="D27" s="1985" t="s">
        <v>515</v>
      </c>
      <c r="E27" s="1985"/>
      <c r="F27" s="1767" t="s">
        <v>340</v>
      </c>
      <c r="G27" s="1848" t="s">
        <v>100</v>
      </c>
      <c r="H27" s="540"/>
      <c r="I27" s="541" t="s">
        <v>167</v>
      </c>
      <c r="J27" s="1985" t="s">
        <v>515</v>
      </c>
      <c r="K27" s="1985"/>
      <c r="L27" s="1767" t="s">
        <v>340</v>
      </c>
      <c r="M27" s="1784" t="s">
        <v>100</v>
      </c>
    </row>
    <row r="28" spans="1:13" ht="24" customHeight="1" x14ac:dyDescent="0.35">
      <c r="A28" s="542"/>
      <c r="B28" s="543"/>
      <c r="C28" s="543"/>
      <c r="D28" s="1785" t="s">
        <v>202</v>
      </c>
      <c r="E28" s="1785" t="s">
        <v>98</v>
      </c>
      <c r="F28" s="1786" t="s">
        <v>99</v>
      </c>
      <c r="G28" s="1849" t="s">
        <v>101</v>
      </c>
      <c r="H28" s="542"/>
      <c r="I28" s="543"/>
      <c r="J28" s="1785" t="s">
        <v>202</v>
      </c>
      <c r="K28" s="1785" t="s">
        <v>98</v>
      </c>
      <c r="L28" s="1786" t="s">
        <v>99</v>
      </c>
      <c r="M28" s="1787" t="s">
        <v>101</v>
      </c>
    </row>
    <row r="29" spans="1:13" ht="18.75" customHeight="1" thickBot="1" x14ac:dyDescent="0.4">
      <c r="A29" s="544"/>
      <c r="B29" s="545"/>
      <c r="C29" s="545"/>
      <c r="D29" s="1788"/>
      <c r="E29" s="1788"/>
      <c r="F29" s="1788"/>
      <c r="G29" s="1850"/>
      <c r="H29" s="1851"/>
      <c r="I29" s="546"/>
      <c r="J29" s="1788"/>
      <c r="K29" s="1788"/>
      <c r="L29" s="1788"/>
      <c r="M29" s="1789"/>
    </row>
    <row r="30" spans="1:13" ht="30" customHeight="1" x14ac:dyDescent="0.35">
      <c r="A30" s="1822" t="s">
        <v>174</v>
      </c>
      <c r="B30" s="1451"/>
      <c r="C30" s="1823"/>
      <c r="D30" s="1756">
        <f>+'17 fbev.'!D26</f>
        <v>477290</v>
      </c>
      <c r="E30" s="1756">
        <f>+'17 fbev.'!E26</f>
        <v>1118966</v>
      </c>
      <c r="F30" s="1756">
        <f>+'17 fbev.'!F26</f>
        <v>1118966</v>
      </c>
      <c r="G30" s="1809">
        <f>+F30/E30*100</f>
        <v>100</v>
      </c>
      <c r="H30" s="384" t="s">
        <v>168</v>
      </c>
      <c r="I30" s="1760"/>
      <c r="J30" s="1790"/>
      <c r="K30" s="1790"/>
      <c r="L30" s="1790"/>
      <c r="M30" s="1791"/>
    </row>
    <row r="31" spans="1:13" ht="30" customHeight="1" x14ac:dyDescent="0.35">
      <c r="A31" s="1824" t="s">
        <v>169</v>
      </c>
      <c r="B31" s="1764"/>
      <c r="C31" s="1825"/>
      <c r="D31" s="1758">
        <f>+'17 fbev.'!D22</f>
        <v>0</v>
      </c>
      <c r="E31" s="1758">
        <f>+'17 fbev.'!E22</f>
        <v>1498861</v>
      </c>
      <c r="F31" s="1758">
        <f>+'17 fbev.'!F22</f>
        <v>630500</v>
      </c>
      <c r="G31" s="1810">
        <f>+F31/E31*100</f>
        <v>42.065274898739773</v>
      </c>
      <c r="H31" s="944" t="s">
        <v>11</v>
      </c>
      <c r="I31" s="1838"/>
      <c r="J31" s="1774">
        <f>+'8 okt.'!D37</f>
        <v>0</v>
      </c>
      <c r="K31" s="1774">
        <f>+'8 okt.'!E37</f>
        <v>117770</v>
      </c>
      <c r="L31" s="1774">
        <f>+'8 okt.'!F37</f>
        <v>81951</v>
      </c>
      <c r="M31" s="1775">
        <f t="shared" ref="M31:M36" si="1">+L31/K31*100</f>
        <v>69.585633013500896</v>
      </c>
    </row>
    <row r="32" spans="1:13" ht="30" customHeight="1" x14ac:dyDescent="0.35">
      <c r="A32" s="1824" t="s">
        <v>170</v>
      </c>
      <c r="B32" s="1825"/>
      <c r="C32" s="1825"/>
      <c r="D32" s="1758">
        <f>+'17 fbev.'!D33</f>
        <v>13000</v>
      </c>
      <c r="E32" s="1758">
        <f>+'17 fbev.'!E33</f>
        <v>132168</v>
      </c>
      <c r="F32" s="1758">
        <f>+'17 fbev.'!F33</f>
        <v>21484</v>
      </c>
      <c r="G32" s="1810">
        <f>+F32/E32*100</f>
        <v>16.255069305732096</v>
      </c>
      <c r="H32" s="944" t="s">
        <v>162</v>
      </c>
      <c r="I32" s="1838"/>
      <c r="J32" s="1774">
        <f>+'9 kult.'!C78</f>
        <v>0</v>
      </c>
      <c r="K32" s="1774">
        <f>+'9 kult.'!D78</f>
        <v>117713</v>
      </c>
      <c r="L32" s="1774">
        <f>+'9 kult.'!E78</f>
        <v>65822</v>
      </c>
      <c r="M32" s="1775">
        <f t="shared" si="1"/>
        <v>55.917358320661272</v>
      </c>
    </row>
    <row r="33" spans="1:13" ht="30" customHeight="1" x14ac:dyDescent="0.35">
      <c r="A33" s="1826" t="s">
        <v>376</v>
      </c>
      <c r="B33" s="1827"/>
      <c r="C33" s="1827"/>
      <c r="D33" s="1774">
        <f>'17 fbev.'!D47</f>
        <v>2655</v>
      </c>
      <c r="E33" s="1774">
        <f>'17 fbev.'!E47</f>
        <v>46656</v>
      </c>
      <c r="F33" s="1774">
        <f>'17 fbev.'!F47</f>
        <v>46656</v>
      </c>
      <c r="G33" s="1810">
        <f>+F33/E33*100</f>
        <v>100</v>
      </c>
      <c r="H33" s="944" t="s">
        <v>75</v>
      </c>
      <c r="I33" s="1838"/>
      <c r="J33" s="1774">
        <f>+'10 szoc.'!C45</f>
        <v>0</v>
      </c>
      <c r="K33" s="1774">
        <f>+'10 szoc.'!D45</f>
        <v>6078</v>
      </c>
      <c r="L33" s="1774">
        <f>+'10 szoc.'!E45</f>
        <v>5873</v>
      </c>
      <c r="M33" s="1775">
        <f t="shared" si="1"/>
        <v>96.627179993418892</v>
      </c>
    </row>
    <row r="34" spans="1:13" ht="30" customHeight="1" x14ac:dyDescent="0.35">
      <c r="A34" s="1828"/>
      <c r="B34" s="1823"/>
      <c r="C34" s="1823"/>
      <c r="D34" s="1790"/>
      <c r="E34" s="1790"/>
      <c r="F34" s="1790"/>
      <c r="G34" s="1811"/>
      <c r="H34" s="944" t="s">
        <v>86</v>
      </c>
      <c r="I34" s="1838"/>
      <c r="J34" s="1774">
        <f>+'11 eü.'!C30</f>
        <v>4433</v>
      </c>
      <c r="K34" s="1774">
        <f>+'11 eü.'!D30</f>
        <v>42208</v>
      </c>
      <c r="L34" s="1774">
        <f>+'11 eü.'!E30</f>
        <v>35396</v>
      </c>
      <c r="M34" s="1775">
        <f t="shared" si="1"/>
        <v>83.860879454131918</v>
      </c>
    </row>
    <row r="35" spans="1:13" ht="30" customHeight="1" x14ac:dyDescent="0.35">
      <c r="A35" s="1828"/>
      <c r="B35" s="1823"/>
      <c r="C35" s="1823"/>
      <c r="D35" s="1790"/>
      <c r="E35" s="1790"/>
      <c r="F35" s="1790"/>
      <c r="G35" s="1811"/>
      <c r="H35" s="944" t="s">
        <v>377</v>
      </c>
      <c r="I35" s="1838"/>
      <c r="J35" s="1774">
        <f>+'12 Gyerm.'!C23</f>
        <v>0</v>
      </c>
      <c r="K35" s="1774">
        <f>+'12 Gyerm.'!D23</f>
        <v>38521</v>
      </c>
      <c r="L35" s="1774">
        <f>+'12 Gyerm.'!E23</f>
        <v>29502</v>
      </c>
      <c r="M35" s="1775">
        <f t="shared" si="1"/>
        <v>76.586796812128455</v>
      </c>
    </row>
    <row r="36" spans="1:13" ht="30" customHeight="1" thickBot="1" x14ac:dyDescent="0.4">
      <c r="A36" s="1829"/>
      <c r="B36" s="1830"/>
      <c r="C36" s="1830"/>
      <c r="D36" s="1790"/>
      <c r="E36" s="1790"/>
      <c r="F36" s="1790"/>
      <c r="G36" s="1811"/>
      <c r="H36" s="944" t="s">
        <v>374</v>
      </c>
      <c r="I36" s="1838"/>
      <c r="J36" s="1774">
        <f>+'13 egyéb'!C107</f>
        <v>93790</v>
      </c>
      <c r="K36" s="1774">
        <f>+'13 egyéb'!D107</f>
        <v>153024</v>
      </c>
      <c r="L36" s="1774">
        <f>+'13 egyéb'!E107</f>
        <v>133285</v>
      </c>
      <c r="M36" s="1775">
        <f t="shared" si="1"/>
        <v>87.100716227519868</v>
      </c>
    </row>
    <row r="37" spans="1:13" ht="30" customHeight="1" thickBot="1" x14ac:dyDescent="0.4">
      <c r="A37" s="1829"/>
      <c r="B37" s="1830"/>
      <c r="C37" s="1830"/>
      <c r="D37" s="1790"/>
      <c r="E37" s="1790"/>
      <c r="F37" s="1790"/>
      <c r="G37" s="1812"/>
      <c r="H37" s="966" t="s">
        <v>171</v>
      </c>
      <c r="I37" s="747"/>
      <c r="J37" s="1792">
        <f>SUM(J30:J36)</f>
        <v>98223</v>
      </c>
      <c r="K37" s="1792">
        <f>SUM(K30:K36)</f>
        <v>475314</v>
      </c>
      <c r="L37" s="1792">
        <f>SUM(L30:L36)</f>
        <v>351829</v>
      </c>
      <c r="M37" s="1793">
        <f>+L37/K37*100</f>
        <v>74.020331822752965</v>
      </c>
    </row>
    <row r="38" spans="1:13" ht="30" customHeight="1" x14ac:dyDescent="0.35">
      <c r="A38" s="933"/>
      <c r="B38" s="447"/>
      <c r="C38" s="447"/>
      <c r="D38" s="1756"/>
      <c r="E38" s="1756"/>
      <c r="F38" s="1756"/>
      <c r="G38" s="1803"/>
      <c r="H38" s="962" t="s">
        <v>88</v>
      </c>
      <c r="I38" s="1451"/>
      <c r="J38" s="1756">
        <f>+'18 fkia.'!D14</f>
        <v>62500</v>
      </c>
      <c r="K38" s="1756">
        <f>+'18 fkia.'!E14</f>
        <v>337739</v>
      </c>
      <c r="L38" s="1756">
        <f>+'18 fkia.'!F14</f>
        <v>268523</v>
      </c>
      <c r="M38" s="1775">
        <f>+L38/K38*100</f>
        <v>79.506068295340484</v>
      </c>
    </row>
    <row r="39" spans="1:13" ht="30" customHeight="1" x14ac:dyDescent="0.35">
      <c r="A39" s="933"/>
      <c r="B39" s="447"/>
      <c r="C39" s="447"/>
      <c r="D39" s="1756"/>
      <c r="E39" s="1756"/>
      <c r="F39" s="1756"/>
      <c r="G39" s="1803"/>
      <c r="H39" s="944" t="s">
        <v>34</v>
      </c>
      <c r="I39" s="1764"/>
      <c r="J39" s="1758">
        <f>+'18 fkia.'!D17</f>
        <v>60000</v>
      </c>
      <c r="K39" s="1758">
        <f>+'18 fkia.'!E17</f>
        <v>0</v>
      </c>
      <c r="L39" s="1758">
        <f>+'18 fkia.'!F17</f>
        <v>0</v>
      </c>
      <c r="M39" s="1775"/>
    </row>
    <row r="40" spans="1:13" ht="30" customHeight="1" x14ac:dyDescent="0.35">
      <c r="A40" s="933"/>
      <c r="B40" s="447"/>
      <c r="C40" s="447"/>
      <c r="D40" s="1756"/>
      <c r="E40" s="1756"/>
      <c r="F40" s="1756"/>
      <c r="G40" s="1803"/>
      <c r="H40" s="944" t="s">
        <v>181</v>
      </c>
      <c r="I40" s="1763"/>
      <c r="J40" s="1758">
        <f>+'18 fkia.'!D20</f>
        <v>0</v>
      </c>
      <c r="K40" s="1758">
        <f>+'18 fkia.'!E20</f>
        <v>33472</v>
      </c>
      <c r="L40" s="1758">
        <f>+'18 fkia.'!F20</f>
        <v>0</v>
      </c>
      <c r="M40" s="1775">
        <f t="shared" ref="M40:M44" si="2">+L40/K40*100</f>
        <v>0</v>
      </c>
    </row>
    <row r="41" spans="1:13" ht="30" customHeight="1" x14ac:dyDescent="0.35">
      <c r="A41" s="1831"/>
      <c r="B41" s="1016"/>
      <c r="C41" s="447"/>
      <c r="D41" s="1756"/>
      <c r="E41" s="1756"/>
      <c r="F41" s="1756"/>
      <c r="G41" s="1803"/>
      <c r="H41" s="944" t="s">
        <v>185</v>
      </c>
      <c r="I41" s="1763"/>
      <c r="J41" s="1758">
        <f>+'18 fkia.'!D27</f>
        <v>10000</v>
      </c>
      <c r="K41" s="1758">
        <f>+'18 fkia.'!E27</f>
        <v>33524</v>
      </c>
      <c r="L41" s="1758">
        <f>+'18 fkia.'!F27</f>
        <v>24729</v>
      </c>
      <c r="M41" s="1775">
        <f t="shared" si="2"/>
        <v>73.765063834864577</v>
      </c>
    </row>
    <row r="42" spans="1:13" ht="30" customHeight="1" x14ac:dyDescent="0.35">
      <c r="A42" s="1831"/>
      <c r="B42" s="1016"/>
      <c r="C42" s="1832"/>
      <c r="D42" s="1756"/>
      <c r="E42" s="1756"/>
      <c r="F42" s="1756"/>
      <c r="G42" s="1803"/>
      <c r="H42" s="944" t="s">
        <v>190</v>
      </c>
      <c r="I42" s="1763"/>
      <c r="J42" s="1758">
        <f>+'18 fkia.'!D125</f>
        <v>5340260</v>
      </c>
      <c r="K42" s="1758">
        <f>+'18 fkia.'!E125</f>
        <v>7411237</v>
      </c>
      <c r="L42" s="1758">
        <f>+'18 fkia.'!F125</f>
        <v>3051401</v>
      </c>
      <c r="M42" s="1775">
        <f t="shared" si="2"/>
        <v>41.172627457467627</v>
      </c>
    </row>
    <row r="43" spans="1:13" ht="30" customHeight="1" x14ac:dyDescent="0.35">
      <c r="A43" s="319"/>
      <c r="B43" s="1833"/>
      <c r="C43" s="1832"/>
      <c r="D43" s="1756"/>
      <c r="E43" s="1756"/>
      <c r="F43" s="1756"/>
      <c r="G43" s="1803"/>
      <c r="H43" s="944" t="s">
        <v>200</v>
      </c>
      <c r="I43" s="1752"/>
      <c r="J43" s="1758">
        <f>+'18 fkia.'!D128</f>
        <v>0</v>
      </c>
      <c r="K43" s="1758">
        <f>+'18 fkia.'!E128</f>
        <v>0</v>
      </c>
      <c r="L43" s="1758">
        <f>+'18 fkia.'!F128</f>
        <v>0</v>
      </c>
      <c r="M43" s="1775"/>
    </row>
    <row r="44" spans="1:13" ht="30" customHeight="1" x14ac:dyDescent="0.35">
      <c r="A44" s="319"/>
      <c r="B44" s="1833"/>
      <c r="C44" s="1832"/>
      <c r="D44" s="1756"/>
      <c r="E44" s="1756"/>
      <c r="F44" s="1756"/>
      <c r="G44" s="1803"/>
      <c r="H44" s="962" t="s">
        <v>58</v>
      </c>
      <c r="I44" s="962"/>
      <c r="J44" s="1756">
        <f>+'18 fkia.'!D129</f>
        <v>10000</v>
      </c>
      <c r="K44" s="1756">
        <f>+'18 fkia.'!E129</f>
        <v>15037</v>
      </c>
      <c r="L44" s="1756">
        <f>+'18 fkia.'!F129</f>
        <v>9821</v>
      </c>
      <c r="M44" s="1775">
        <f t="shared" si="2"/>
        <v>65.312229833078405</v>
      </c>
    </row>
    <row r="45" spans="1:13" ht="30" customHeight="1" thickBot="1" x14ac:dyDescent="0.4">
      <c r="A45" s="319"/>
      <c r="B45" s="1833"/>
      <c r="C45" s="1832"/>
      <c r="D45" s="1756"/>
      <c r="E45" s="1756"/>
      <c r="F45" s="1756"/>
      <c r="G45" s="1803"/>
      <c r="H45" s="1839" t="s">
        <v>172</v>
      </c>
      <c r="I45" s="1840"/>
      <c r="J45" s="1794">
        <f>SUM(J38:J44)</f>
        <v>5482760</v>
      </c>
      <c r="K45" s="1794">
        <f>SUM(K38:K44)</f>
        <v>7831009</v>
      </c>
      <c r="L45" s="1794">
        <f>SUM(L38:L44)</f>
        <v>3354474</v>
      </c>
      <c r="M45" s="1795">
        <f>+L45/K45*100</f>
        <v>42.835782719698059</v>
      </c>
    </row>
    <row r="46" spans="1:13" ht="30" customHeight="1" thickBot="1" x14ac:dyDescent="0.4">
      <c r="A46" s="1976" t="s">
        <v>336</v>
      </c>
      <c r="B46" s="1977"/>
      <c r="C46" s="1978"/>
      <c r="D46" s="1780">
        <f>SUM(D30:D45)</f>
        <v>492945</v>
      </c>
      <c r="E46" s="1780">
        <f>SUM(E30:E45)</f>
        <v>2796651</v>
      </c>
      <c r="F46" s="1780">
        <f>SUM(F30:F45)</f>
        <v>1817606</v>
      </c>
      <c r="G46" s="1793">
        <f>+F46/E46*100</f>
        <v>64.992235355788054</v>
      </c>
      <c r="H46" s="1976" t="s">
        <v>337</v>
      </c>
      <c r="I46" s="1978"/>
      <c r="J46" s="1780">
        <f>+J45+J37</f>
        <v>5580983</v>
      </c>
      <c r="K46" s="1780">
        <f>+K45+K37</f>
        <v>8306323</v>
      </c>
      <c r="L46" s="1780">
        <f>+L45+L37</f>
        <v>3706303</v>
      </c>
      <c r="M46" s="1793">
        <f>+L46/K46*100</f>
        <v>44.620260974681578</v>
      </c>
    </row>
    <row r="47" spans="1:13" ht="18.75" customHeight="1" thickBot="1" x14ac:dyDescent="0.4">
      <c r="A47" s="337"/>
      <c r="B47" s="337"/>
      <c r="C47" s="281"/>
      <c r="D47" s="1885"/>
      <c r="E47" s="1885"/>
      <c r="F47" s="1885"/>
      <c r="G47" s="1813"/>
      <c r="H47" s="541"/>
      <c r="I47" s="541"/>
      <c r="J47" s="1885"/>
      <c r="K47" s="1885"/>
      <c r="L47" s="1885"/>
      <c r="M47" s="1797"/>
    </row>
    <row r="48" spans="1:13" ht="30" customHeight="1" x14ac:dyDescent="0.35">
      <c r="A48" s="1834" t="s">
        <v>83</v>
      </c>
      <c r="B48" s="280"/>
      <c r="C48" s="495"/>
      <c r="D48" s="1814"/>
      <c r="E48" s="1814"/>
      <c r="F48" s="1814"/>
      <c r="G48" s="1815"/>
      <c r="H48" s="538" t="s">
        <v>83</v>
      </c>
      <c r="I48" s="1841"/>
      <c r="J48" s="1796"/>
      <c r="K48" s="1796"/>
      <c r="L48" s="1796"/>
      <c r="M48" s="1798"/>
    </row>
    <row r="49" spans="1:13" ht="30" customHeight="1" x14ac:dyDescent="0.35">
      <c r="A49" s="316"/>
      <c r="B49" s="1833"/>
      <c r="C49" s="1835" t="s">
        <v>33</v>
      </c>
      <c r="D49" s="1816">
        <v>1590282</v>
      </c>
      <c r="E49" s="1816">
        <v>3789776</v>
      </c>
      <c r="F49" s="1776">
        <v>3789776</v>
      </c>
      <c r="G49" s="1817">
        <f>+F49/E49*100</f>
        <v>100</v>
      </c>
      <c r="H49" s="1842" t="s">
        <v>409</v>
      </c>
      <c r="I49" s="1843"/>
      <c r="J49" s="1758">
        <v>120750</v>
      </c>
      <c r="K49" s="1758">
        <v>120750</v>
      </c>
      <c r="L49" s="1758">
        <v>120749</v>
      </c>
      <c r="M49" s="1775">
        <f>+L49/K49*100</f>
        <v>99.9991718426501</v>
      </c>
    </row>
    <row r="50" spans="1:13" ht="30" customHeight="1" x14ac:dyDescent="0.35">
      <c r="A50" s="316"/>
      <c r="B50" s="1833"/>
      <c r="C50" s="1835" t="s">
        <v>319</v>
      </c>
      <c r="D50" s="1816">
        <v>72470</v>
      </c>
      <c r="E50" s="1816">
        <v>0</v>
      </c>
      <c r="F50" s="1776"/>
      <c r="G50" s="1817"/>
      <c r="H50" s="1842" t="s">
        <v>642</v>
      </c>
      <c r="I50" s="1844"/>
      <c r="J50" s="1758"/>
      <c r="K50" s="1758">
        <v>234638</v>
      </c>
      <c r="L50" s="1758"/>
      <c r="M50" s="1799">
        <f>+L50/K50*100</f>
        <v>0</v>
      </c>
    </row>
    <row r="51" spans="1:13" ht="39.75" customHeight="1" x14ac:dyDescent="0.35">
      <c r="A51" s="316"/>
      <c r="B51" s="1833"/>
      <c r="C51" s="1836" t="s">
        <v>642</v>
      </c>
      <c r="D51" s="1816"/>
      <c r="E51" s="1816">
        <v>234638</v>
      </c>
      <c r="F51" s="1776">
        <v>234638</v>
      </c>
      <c r="G51" s="1817">
        <f>+F51/E51*100</f>
        <v>100</v>
      </c>
      <c r="H51" s="1824" t="s">
        <v>490</v>
      </c>
      <c r="I51" s="1845"/>
      <c r="J51" s="1758">
        <v>221856</v>
      </c>
      <c r="K51" s="1758">
        <v>221856</v>
      </c>
      <c r="L51" s="1758">
        <v>221855</v>
      </c>
      <c r="M51" s="1799">
        <f>+L51/K51*100</f>
        <v>99.999549257175829</v>
      </c>
    </row>
    <row r="52" spans="1:13" ht="46.5" customHeight="1" x14ac:dyDescent="0.35">
      <c r="A52" s="316"/>
      <c r="B52" s="1833"/>
      <c r="C52" s="1836" t="s">
        <v>489</v>
      </c>
      <c r="D52" s="1816">
        <v>221856</v>
      </c>
      <c r="E52" s="1816">
        <v>0</v>
      </c>
      <c r="F52" s="1776"/>
      <c r="G52" s="1817"/>
      <c r="H52" s="1824"/>
      <c r="I52" s="1845"/>
      <c r="J52" s="1758"/>
      <c r="K52" s="1758"/>
      <c r="L52" s="1758"/>
      <c r="M52" s="1799"/>
    </row>
    <row r="53" spans="1:13" ht="30" customHeight="1" x14ac:dyDescent="0.35">
      <c r="A53" s="316"/>
      <c r="B53" s="1833"/>
      <c r="C53" s="1835" t="s">
        <v>320</v>
      </c>
      <c r="D53" s="1816"/>
      <c r="E53" s="1816">
        <v>5181132</v>
      </c>
      <c r="F53" s="1776">
        <v>5181132</v>
      </c>
      <c r="G53" s="1817">
        <f t="shared" ref="G53" si="3">+F53/E53*100</f>
        <v>100</v>
      </c>
      <c r="H53" s="1824"/>
      <c r="I53" s="1845"/>
      <c r="J53" s="1758"/>
      <c r="K53" s="1758"/>
      <c r="L53" s="1758"/>
      <c r="M53" s="1799"/>
    </row>
    <row r="54" spans="1:13" ht="30" customHeight="1" x14ac:dyDescent="0.35">
      <c r="A54" s="316"/>
      <c r="B54" s="1833"/>
      <c r="C54" s="1835" t="s">
        <v>321</v>
      </c>
      <c r="D54" s="1816">
        <v>5085260</v>
      </c>
      <c r="E54" s="1816"/>
      <c r="F54" s="1776"/>
      <c r="G54" s="1817"/>
      <c r="H54" s="1824"/>
      <c r="I54" s="1845"/>
      <c r="J54" s="1758"/>
      <c r="K54" s="1758"/>
      <c r="L54" s="1758"/>
      <c r="M54" s="1799"/>
    </row>
    <row r="55" spans="1:13" ht="30" customHeight="1" x14ac:dyDescent="0.35">
      <c r="A55" s="316"/>
      <c r="B55" s="1833"/>
      <c r="C55" s="1835" t="s">
        <v>255</v>
      </c>
      <c r="D55" s="1816">
        <v>205482</v>
      </c>
      <c r="E55" s="1816">
        <v>487320</v>
      </c>
      <c r="F55" s="1776">
        <v>487320</v>
      </c>
      <c r="G55" s="1817">
        <f t="shared" ref="G55" si="4">+F55/E55*100</f>
        <v>100</v>
      </c>
      <c r="H55" s="1842"/>
      <c r="I55" s="1844"/>
      <c r="J55" s="1758"/>
      <c r="K55" s="1758"/>
      <c r="L55" s="1758"/>
      <c r="M55" s="1799"/>
    </row>
    <row r="56" spans="1:13" ht="30" customHeight="1" thickBot="1" x14ac:dyDescent="0.4">
      <c r="A56" s="316"/>
      <c r="B56" s="1833"/>
      <c r="C56" s="1835" t="s">
        <v>254</v>
      </c>
      <c r="D56" s="1816"/>
      <c r="E56" s="1816"/>
      <c r="F56" s="1776"/>
      <c r="G56" s="1817"/>
      <c r="H56" s="1842"/>
      <c r="I56" s="1844"/>
      <c r="J56" s="1758"/>
      <c r="K56" s="1758"/>
      <c r="L56" s="1758"/>
      <c r="M56" s="1799"/>
    </row>
    <row r="57" spans="1:13" ht="30" customHeight="1" thickBot="1" x14ac:dyDescent="0.4">
      <c r="A57" s="1981" t="s">
        <v>84</v>
      </c>
      <c r="B57" s="1982"/>
      <c r="C57" s="1983"/>
      <c r="D57" s="1780">
        <f>SUM(D48:D56)</f>
        <v>7175350</v>
      </c>
      <c r="E57" s="1780">
        <f>SUM(E48:E56)</f>
        <v>9692866</v>
      </c>
      <c r="F57" s="1780">
        <f>SUM(F48:F56)</f>
        <v>9692866</v>
      </c>
      <c r="G57" s="1793">
        <f t="shared" ref="G57" si="5">+F57/E57*100</f>
        <v>100</v>
      </c>
      <c r="H57" s="1979" t="s">
        <v>84</v>
      </c>
      <c r="I57" s="1980"/>
      <c r="J57" s="1780">
        <f>SUM(J49:J56)</f>
        <v>342606</v>
      </c>
      <c r="K57" s="1780">
        <f>SUM(K48:K56)</f>
        <v>577244</v>
      </c>
      <c r="L57" s="1780">
        <f>SUM(L48:L56)</f>
        <v>342604</v>
      </c>
      <c r="M57" s="1793">
        <f>+L57/K57*100</f>
        <v>59.351677973266071</v>
      </c>
    </row>
    <row r="58" spans="1:13" ht="30" customHeight="1" x14ac:dyDescent="0.35">
      <c r="A58" s="316"/>
      <c r="B58" s="337"/>
      <c r="C58" s="337"/>
      <c r="D58" s="1818"/>
      <c r="E58" s="1818"/>
      <c r="F58" s="1818"/>
      <c r="G58" s="1819"/>
      <c r="H58" s="1846"/>
      <c r="I58" s="541"/>
      <c r="J58" s="1796"/>
      <c r="K58" s="1796"/>
      <c r="L58" s="1796"/>
      <c r="M58" s="1798"/>
    </row>
    <row r="59" spans="1:13" ht="30" customHeight="1" thickBot="1" x14ac:dyDescent="0.4">
      <c r="A59" s="1837"/>
      <c r="B59" s="329"/>
      <c r="C59" s="329"/>
      <c r="D59" s="1800"/>
      <c r="E59" s="1800"/>
      <c r="F59" s="1800"/>
      <c r="G59" s="1820"/>
      <c r="H59" s="1847"/>
      <c r="I59" s="329"/>
      <c r="J59" s="1800"/>
      <c r="K59" s="1800"/>
      <c r="L59" s="1800"/>
      <c r="M59" s="1801"/>
    </row>
    <row r="60" spans="1:13" ht="21.75" thickBot="1" x14ac:dyDescent="0.4">
      <c r="A60" s="1981" t="s">
        <v>339</v>
      </c>
      <c r="B60" s="1982"/>
      <c r="C60" s="1983"/>
      <c r="D60" s="1780">
        <f>+D57+D46+D25</f>
        <v>27296742</v>
      </c>
      <c r="E60" s="1780">
        <f>+E57+E46+E25</f>
        <v>36077106</v>
      </c>
      <c r="F60" s="1780">
        <f>+F57+F46+F25</f>
        <v>34772279</v>
      </c>
      <c r="G60" s="1793">
        <f>+F60/E60*100</f>
        <v>96.383227080353947</v>
      </c>
      <c r="H60" s="1979" t="s">
        <v>338</v>
      </c>
      <c r="I60" s="1980"/>
      <c r="J60" s="1780">
        <f>+J57+J46+J25</f>
        <v>27296742</v>
      </c>
      <c r="K60" s="1780">
        <f>+K57+K46+K25</f>
        <v>36077106</v>
      </c>
      <c r="L60" s="1780">
        <f>+L57+L46+L25</f>
        <v>27491395</v>
      </c>
      <c r="M60" s="1793">
        <f>+L60/K60*100</f>
        <v>76.201774610191848</v>
      </c>
    </row>
    <row r="61" spans="1:13" ht="15" customHeight="1" x14ac:dyDescent="0.35">
      <c r="A61" s="447"/>
      <c r="B61" s="447"/>
      <c r="C61" s="447"/>
      <c r="D61" s="1821"/>
      <c r="E61" s="1821"/>
      <c r="F61" s="1821"/>
      <c r="G61" s="1821"/>
      <c r="H61" s="447"/>
      <c r="I61" s="447"/>
      <c r="J61" s="964"/>
      <c r="K61" s="447"/>
      <c r="L61" s="447"/>
      <c r="M61" s="447"/>
    </row>
    <row r="62" spans="1:13" ht="15" customHeight="1" x14ac:dyDescent="0.35">
      <c r="A62" s="447"/>
      <c r="B62" s="447"/>
      <c r="C62" s="447"/>
      <c r="D62" s="1821"/>
      <c r="E62" s="1821"/>
      <c r="F62" s="1821"/>
      <c r="G62" s="1821"/>
      <c r="H62" s="447"/>
      <c r="I62" s="447"/>
      <c r="J62" s="447"/>
      <c r="K62" s="447"/>
      <c r="L62" s="447"/>
      <c r="M62" s="447"/>
    </row>
    <row r="63" spans="1:13" ht="15" customHeight="1" x14ac:dyDescent="0.35">
      <c r="A63" s="447"/>
      <c r="B63" s="447"/>
      <c r="C63" s="447"/>
      <c r="D63" s="1821"/>
      <c r="E63" s="1821"/>
      <c r="F63" s="1821"/>
      <c r="G63" s="1821"/>
      <c r="H63" s="447"/>
      <c r="I63" s="447"/>
      <c r="J63" s="447"/>
      <c r="K63" s="447"/>
      <c r="L63" s="447"/>
      <c r="M63" s="447"/>
    </row>
    <row r="64" spans="1:13" ht="15" customHeight="1" x14ac:dyDescent="0.35">
      <c r="A64" s="447"/>
      <c r="B64" s="447"/>
      <c r="C64" s="447"/>
      <c r="D64" s="1821"/>
      <c r="E64" s="1821"/>
      <c r="F64" s="1821"/>
      <c r="G64" s="1821"/>
      <c r="H64" s="447"/>
      <c r="I64" s="447"/>
      <c r="J64" s="447"/>
      <c r="K64" s="447"/>
      <c r="L64" s="447"/>
      <c r="M64" s="447"/>
    </row>
    <row r="65" spans="1:13" ht="15" customHeight="1" x14ac:dyDescent="0.35">
      <c r="A65" s="447"/>
      <c r="B65" s="447"/>
      <c r="C65" s="447"/>
      <c r="D65" s="1821"/>
      <c r="E65" s="1821"/>
      <c r="F65" s="1821"/>
      <c r="G65" s="1821"/>
      <c r="H65" s="447"/>
      <c r="I65" s="447"/>
      <c r="J65" s="447"/>
      <c r="K65" s="447"/>
      <c r="L65" s="447"/>
      <c r="M65" s="447"/>
    </row>
    <row r="66" spans="1:13" ht="15" customHeight="1" x14ac:dyDescent="0.35">
      <c r="A66" s="447"/>
      <c r="B66" s="447"/>
      <c r="C66" s="447"/>
      <c r="D66" s="1821"/>
      <c r="E66" s="1821"/>
      <c r="F66" s="1821"/>
      <c r="G66" s="1821"/>
      <c r="H66" s="447"/>
      <c r="I66" s="447"/>
      <c r="J66" s="447"/>
      <c r="K66" s="447"/>
      <c r="L66" s="447"/>
      <c r="M66" s="447"/>
    </row>
    <row r="67" spans="1:13" ht="15" customHeight="1" x14ac:dyDescent="0.35">
      <c r="A67" s="447"/>
      <c r="B67" s="447"/>
      <c r="C67" s="447"/>
      <c r="D67" s="1821"/>
      <c r="E67" s="1821"/>
      <c r="F67" s="1821"/>
      <c r="G67" s="1821"/>
      <c r="H67" s="447"/>
      <c r="I67" s="447"/>
      <c r="J67" s="447"/>
      <c r="K67" s="447"/>
      <c r="L67" s="447"/>
      <c r="M67" s="447"/>
    </row>
    <row r="68" spans="1:13" ht="15" customHeight="1" x14ac:dyDescent="0.35">
      <c r="A68" s="447"/>
      <c r="B68" s="447"/>
      <c r="C68" s="447"/>
      <c r="D68" s="1821"/>
      <c r="E68" s="1821"/>
      <c r="F68" s="1821"/>
      <c r="G68" s="1821"/>
      <c r="H68" s="447"/>
      <c r="I68" s="447"/>
      <c r="J68" s="447"/>
      <c r="K68" s="447"/>
      <c r="L68" s="447"/>
      <c r="M68" s="447"/>
    </row>
    <row r="69" spans="1:13" ht="15" customHeight="1" x14ac:dyDescent="0.35">
      <c r="A69" s="447"/>
      <c r="B69" s="447"/>
      <c r="C69" s="447"/>
      <c r="D69" s="1821"/>
      <c r="E69" s="1821"/>
      <c r="F69" s="1821"/>
      <c r="G69" s="1821"/>
      <c r="H69" s="447"/>
      <c r="I69" s="447"/>
      <c r="J69" s="447"/>
      <c r="K69" s="447"/>
      <c r="L69" s="447"/>
      <c r="M69" s="447"/>
    </row>
    <row r="70" spans="1:13" ht="15" customHeight="1" x14ac:dyDescent="0.35">
      <c r="A70" s="447"/>
      <c r="B70" s="447"/>
      <c r="C70" s="447"/>
      <c r="D70" s="1821"/>
      <c r="E70" s="1821"/>
      <c r="F70" s="1821"/>
      <c r="G70" s="1821"/>
      <c r="H70" s="447"/>
      <c r="I70" s="447"/>
      <c r="J70" s="447"/>
      <c r="K70" s="447"/>
      <c r="L70" s="447"/>
      <c r="M70" s="447"/>
    </row>
    <row r="71" spans="1:13" ht="15" customHeight="1" x14ac:dyDescent="0.35">
      <c r="A71" s="447"/>
      <c r="B71" s="447"/>
      <c r="C71" s="447"/>
      <c r="D71" s="1821"/>
      <c r="E71" s="1821"/>
      <c r="F71" s="1821"/>
      <c r="G71" s="1821"/>
      <c r="H71" s="447"/>
      <c r="I71" s="447"/>
      <c r="J71" s="447"/>
      <c r="K71" s="447"/>
      <c r="L71" s="447"/>
      <c r="M71" s="447"/>
    </row>
    <row r="72" spans="1:13" ht="15" customHeight="1" x14ac:dyDescent="0.35">
      <c r="A72" s="447"/>
      <c r="B72" s="447"/>
      <c r="C72" s="447"/>
      <c r="D72" s="1821"/>
      <c r="E72" s="1821"/>
      <c r="F72" s="1821"/>
      <c r="G72" s="1821"/>
      <c r="H72" s="447"/>
      <c r="I72" s="447"/>
      <c r="J72" s="447"/>
      <c r="K72" s="447"/>
      <c r="L72" s="447"/>
      <c r="M72" s="447"/>
    </row>
    <row r="73" spans="1:13" ht="15" customHeight="1" x14ac:dyDescent="0.35">
      <c r="A73" s="447"/>
      <c r="B73" s="447"/>
      <c r="C73" s="447"/>
      <c r="D73" s="1821"/>
      <c r="E73" s="1821"/>
      <c r="F73" s="1821"/>
      <c r="G73" s="1821"/>
      <c r="H73" s="447"/>
      <c r="I73" s="447"/>
      <c r="J73" s="447"/>
      <c r="K73" s="447"/>
      <c r="L73" s="447"/>
      <c r="M73" s="447"/>
    </row>
    <row r="74" spans="1:13" ht="15" customHeight="1" x14ac:dyDescent="0.35">
      <c r="A74" s="447"/>
      <c r="B74" s="447"/>
      <c r="C74" s="447"/>
      <c r="D74" s="1821"/>
      <c r="E74" s="1821"/>
      <c r="F74" s="1821"/>
      <c r="G74" s="1821"/>
      <c r="H74" s="447"/>
      <c r="I74" s="447"/>
      <c r="J74" s="447"/>
      <c r="K74" s="447"/>
      <c r="L74" s="447"/>
      <c r="M74" s="447"/>
    </row>
    <row r="75" spans="1:13" ht="15" customHeight="1" x14ac:dyDescent="0.35">
      <c r="A75" s="447"/>
      <c r="B75" s="447"/>
      <c r="C75" s="447"/>
      <c r="D75" s="1821"/>
      <c r="E75" s="1821"/>
      <c r="F75" s="1821"/>
      <c r="G75" s="1821"/>
      <c r="H75" s="447"/>
      <c r="I75" s="447"/>
      <c r="J75" s="447"/>
      <c r="K75" s="447"/>
      <c r="L75" s="447"/>
      <c r="M75" s="447"/>
    </row>
    <row r="76" spans="1:13" ht="15" customHeight="1" x14ac:dyDescent="0.35">
      <c r="A76" s="447"/>
      <c r="B76" s="447"/>
      <c r="C76" s="447"/>
      <c r="D76" s="1821"/>
      <c r="E76" s="1821"/>
      <c r="F76" s="1821"/>
      <c r="G76" s="1821"/>
      <c r="H76" s="447"/>
      <c r="I76" s="447"/>
      <c r="J76" s="447"/>
      <c r="K76" s="447"/>
      <c r="L76" s="447"/>
      <c r="M76" s="447"/>
    </row>
    <row r="77" spans="1:13" ht="15" customHeight="1" x14ac:dyDescent="0.35">
      <c r="A77" s="447"/>
      <c r="B77" s="447"/>
      <c r="C77" s="447"/>
      <c r="D77" s="1821"/>
      <c r="E77" s="1821"/>
      <c r="F77" s="1821"/>
      <c r="G77" s="1821"/>
      <c r="H77" s="447"/>
      <c r="I77" s="447"/>
      <c r="J77" s="447"/>
      <c r="K77" s="447"/>
      <c r="L77" s="447"/>
      <c r="M77" s="447"/>
    </row>
    <row r="78" spans="1:13" ht="15" customHeight="1" x14ac:dyDescent="0.35">
      <c r="A78" s="447"/>
      <c r="B78" s="447"/>
      <c r="C78" s="447"/>
      <c r="D78" s="1821"/>
      <c r="E78" s="1821"/>
      <c r="F78" s="1821"/>
      <c r="G78" s="1821"/>
      <c r="H78" s="447"/>
      <c r="I78" s="447"/>
      <c r="J78" s="447"/>
      <c r="K78" s="447"/>
      <c r="L78" s="447"/>
      <c r="M78" s="447"/>
    </row>
    <row r="79" spans="1:13" ht="15" customHeight="1" x14ac:dyDescent="0.35">
      <c r="A79" s="447"/>
      <c r="B79" s="447"/>
      <c r="C79" s="447"/>
      <c r="D79" s="1821"/>
      <c r="E79" s="1821"/>
      <c r="F79" s="1821"/>
      <c r="G79" s="1821"/>
      <c r="H79" s="447"/>
      <c r="I79" s="447"/>
      <c r="J79" s="447"/>
      <c r="K79" s="447"/>
      <c r="L79" s="447"/>
      <c r="M79" s="447"/>
    </row>
    <row r="80" spans="1:13" ht="15" customHeight="1" x14ac:dyDescent="0.35">
      <c r="A80" s="447"/>
      <c r="B80" s="447"/>
      <c r="C80" s="447"/>
      <c r="D80" s="1821"/>
      <c r="E80" s="1821"/>
      <c r="F80" s="1821"/>
      <c r="G80" s="1821"/>
      <c r="H80" s="447"/>
      <c r="I80" s="447"/>
      <c r="J80" s="447"/>
      <c r="K80" s="447"/>
      <c r="L80" s="447"/>
      <c r="M80" s="447"/>
    </row>
    <row r="81" spans="1:13" ht="15" customHeight="1" x14ac:dyDescent="0.35">
      <c r="A81" s="447"/>
      <c r="B81" s="447"/>
      <c r="C81" s="447"/>
      <c r="D81" s="1821"/>
      <c r="E81" s="1821"/>
      <c r="F81" s="1821"/>
      <c r="G81" s="1821"/>
      <c r="H81" s="447"/>
      <c r="I81" s="447"/>
      <c r="J81" s="447"/>
      <c r="K81" s="447"/>
      <c r="L81" s="447"/>
      <c r="M81" s="447"/>
    </row>
    <row r="82" spans="1:13" ht="15" customHeight="1" x14ac:dyDescent="0.35">
      <c r="A82" s="447"/>
      <c r="B82" s="447"/>
      <c r="C82" s="447"/>
      <c r="D82" s="1821"/>
      <c r="E82" s="1821"/>
      <c r="F82" s="1821"/>
      <c r="G82" s="1821"/>
      <c r="H82" s="447"/>
      <c r="I82" s="447"/>
      <c r="J82" s="447"/>
      <c r="K82" s="447"/>
      <c r="L82" s="447"/>
      <c r="M82" s="447"/>
    </row>
    <row r="83" spans="1:13" ht="15" customHeight="1" x14ac:dyDescent="0.35">
      <c r="A83" s="447"/>
      <c r="B83" s="447"/>
      <c r="C83" s="447"/>
      <c r="D83" s="1821"/>
      <c r="E83" s="1821"/>
      <c r="F83" s="1821"/>
      <c r="G83" s="1821"/>
      <c r="H83" s="447"/>
      <c r="I83" s="447"/>
      <c r="J83" s="447"/>
      <c r="K83" s="447"/>
      <c r="L83" s="447"/>
      <c r="M83" s="447"/>
    </row>
    <row r="84" spans="1:13" ht="15" customHeight="1" x14ac:dyDescent="0.35">
      <c r="A84" s="447"/>
      <c r="B84" s="447"/>
      <c r="C84" s="447"/>
      <c r="D84" s="1821"/>
      <c r="E84" s="1821"/>
      <c r="F84" s="1821"/>
      <c r="G84" s="1821"/>
      <c r="H84" s="447"/>
      <c r="I84" s="447"/>
      <c r="J84" s="447"/>
      <c r="K84" s="447"/>
      <c r="L84" s="447"/>
      <c r="M84" s="447"/>
    </row>
    <row r="85" spans="1:13" ht="15" customHeight="1" x14ac:dyDescent="0.35">
      <c r="A85" s="447"/>
      <c r="B85" s="447"/>
      <c r="C85" s="447"/>
      <c r="D85" s="1821"/>
      <c r="E85" s="1821"/>
      <c r="F85" s="1821"/>
      <c r="G85" s="1821"/>
      <c r="H85" s="447"/>
      <c r="I85" s="447"/>
      <c r="J85" s="447"/>
      <c r="K85" s="447"/>
      <c r="L85" s="447"/>
      <c r="M85" s="447"/>
    </row>
    <row r="86" spans="1:13" ht="15" customHeight="1" x14ac:dyDescent="0.35">
      <c r="A86" s="447"/>
      <c r="B86" s="447"/>
      <c r="C86" s="447"/>
      <c r="D86" s="1821"/>
      <c r="E86" s="1821"/>
      <c r="F86" s="1821"/>
      <c r="G86" s="1821"/>
      <c r="H86" s="447"/>
      <c r="I86" s="447"/>
      <c r="J86" s="447"/>
      <c r="K86" s="447"/>
      <c r="L86" s="447"/>
      <c r="M86" s="447"/>
    </row>
    <row r="87" spans="1:13" ht="15" customHeight="1" x14ac:dyDescent="0.35">
      <c r="A87" s="447"/>
      <c r="B87" s="447"/>
      <c r="C87" s="447"/>
      <c r="D87" s="1821"/>
      <c r="E87" s="1821"/>
      <c r="F87" s="1821"/>
      <c r="G87" s="1821"/>
      <c r="H87" s="447"/>
      <c r="I87" s="447"/>
      <c r="J87" s="447"/>
      <c r="K87" s="447"/>
      <c r="L87" s="447"/>
      <c r="M87" s="447"/>
    </row>
    <row r="88" spans="1:13" ht="15" customHeight="1" x14ac:dyDescent="0.35">
      <c r="A88" s="447"/>
      <c r="B88" s="447"/>
      <c r="C88" s="447"/>
      <c r="D88" s="1821"/>
      <c r="E88" s="1821"/>
      <c r="F88" s="1821"/>
      <c r="G88" s="1821"/>
      <c r="H88" s="447"/>
      <c r="I88" s="447"/>
      <c r="J88" s="447"/>
      <c r="K88" s="447"/>
      <c r="L88" s="447"/>
      <c r="M88" s="447"/>
    </row>
    <row r="89" spans="1:13" ht="15" customHeight="1" x14ac:dyDescent="0.35">
      <c r="A89" s="447"/>
      <c r="B89" s="447"/>
      <c r="C89" s="447"/>
      <c r="D89" s="1821"/>
      <c r="E89" s="1821"/>
      <c r="F89" s="1821"/>
      <c r="G89" s="1821"/>
      <c r="H89" s="447"/>
      <c r="I89" s="447"/>
      <c r="J89" s="447"/>
      <c r="K89" s="447"/>
      <c r="L89" s="447"/>
      <c r="M89" s="447"/>
    </row>
    <row r="90" spans="1:13" ht="15" customHeight="1" x14ac:dyDescent="0.35">
      <c r="A90" s="447"/>
      <c r="B90" s="447"/>
      <c r="C90" s="447"/>
      <c r="D90" s="1821"/>
      <c r="E90" s="1821"/>
      <c r="F90" s="1821"/>
      <c r="G90" s="1821"/>
      <c r="H90" s="447"/>
      <c r="I90" s="447"/>
      <c r="J90" s="447"/>
      <c r="K90" s="447"/>
      <c r="L90" s="447"/>
      <c r="M90" s="447"/>
    </row>
    <row r="91" spans="1:13" ht="15" customHeight="1" x14ac:dyDescent="0.35">
      <c r="A91" s="447"/>
      <c r="B91" s="447"/>
      <c r="C91" s="447"/>
      <c r="D91" s="1821"/>
      <c r="E91" s="1821"/>
      <c r="F91" s="1821"/>
      <c r="G91" s="1821"/>
      <c r="H91" s="447"/>
      <c r="I91" s="447"/>
      <c r="J91" s="447"/>
      <c r="K91" s="447"/>
      <c r="L91" s="447"/>
      <c r="M91" s="447"/>
    </row>
    <row r="92" spans="1:13" ht="15" customHeight="1" x14ac:dyDescent="0.35">
      <c r="A92" s="447"/>
      <c r="B92" s="447"/>
      <c r="C92" s="447"/>
      <c r="D92" s="1821"/>
      <c r="E92" s="1821"/>
      <c r="F92" s="1821"/>
      <c r="G92" s="1821"/>
      <c r="H92" s="447"/>
      <c r="I92" s="447"/>
      <c r="J92" s="447"/>
      <c r="K92" s="447"/>
      <c r="L92" s="447"/>
      <c r="M92" s="447"/>
    </row>
    <row r="93" spans="1:13" ht="15" customHeight="1" x14ac:dyDescent="0.35">
      <c r="A93" s="447"/>
      <c r="B93" s="447"/>
      <c r="C93" s="447"/>
      <c r="D93" s="1821"/>
      <c r="E93" s="1821"/>
      <c r="F93" s="1821"/>
      <c r="G93" s="1821"/>
      <c r="H93" s="447"/>
      <c r="I93" s="447"/>
      <c r="J93" s="447"/>
      <c r="K93" s="447"/>
      <c r="L93" s="447"/>
      <c r="M93" s="447"/>
    </row>
    <row r="94" spans="1:13" ht="15" customHeight="1" x14ac:dyDescent="0.35">
      <c r="A94" s="447"/>
      <c r="B94" s="447"/>
      <c r="C94" s="447"/>
      <c r="D94" s="1821"/>
      <c r="E94" s="1821"/>
      <c r="F94" s="1821"/>
      <c r="G94" s="1821"/>
      <c r="H94" s="447"/>
      <c r="I94" s="447"/>
      <c r="J94" s="447"/>
      <c r="K94" s="447"/>
      <c r="L94" s="447"/>
      <c r="M94" s="447"/>
    </row>
    <row r="95" spans="1:13" ht="15" customHeight="1" x14ac:dyDescent="0.35">
      <c r="A95" s="447"/>
      <c r="B95" s="447"/>
      <c r="C95" s="447"/>
      <c r="D95" s="1821"/>
      <c r="E95" s="1821"/>
      <c r="F95" s="1821"/>
      <c r="G95" s="1821"/>
      <c r="H95" s="447"/>
      <c r="I95" s="447"/>
      <c r="J95" s="447"/>
      <c r="K95" s="447"/>
      <c r="L95" s="447"/>
      <c r="M95" s="447"/>
    </row>
    <row r="96" spans="1:13" ht="15" customHeight="1" x14ac:dyDescent="0.35">
      <c r="A96" s="447"/>
      <c r="B96" s="447"/>
      <c r="C96" s="447"/>
      <c r="D96" s="1821"/>
      <c r="E96" s="1821"/>
      <c r="F96" s="1821"/>
      <c r="G96" s="1821"/>
      <c r="H96" s="447"/>
      <c r="I96" s="447"/>
      <c r="J96" s="447"/>
      <c r="K96" s="447"/>
      <c r="L96" s="447"/>
      <c r="M96" s="447"/>
    </row>
    <row r="97" spans="1:13" ht="15" customHeight="1" x14ac:dyDescent="0.35">
      <c r="A97" s="447"/>
      <c r="B97" s="447"/>
      <c r="C97" s="447"/>
      <c r="D97" s="1821"/>
      <c r="E97" s="1821"/>
      <c r="F97" s="1821"/>
      <c r="G97" s="1821"/>
      <c r="H97" s="447"/>
      <c r="I97" s="447"/>
      <c r="J97" s="447"/>
      <c r="K97" s="447"/>
      <c r="L97" s="447"/>
      <c r="M97" s="447"/>
    </row>
    <row r="98" spans="1:13" ht="15" customHeight="1" x14ac:dyDescent="0.35">
      <c r="A98" s="447"/>
      <c r="B98" s="447"/>
      <c r="C98" s="447"/>
      <c r="D98" s="1821"/>
      <c r="E98" s="1821"/>
      <c r="F98" s="1821"/>
      <c r="G98" s="1821"/>
      <c r="H98" s="447"/>
      <c r="I98" s="447"/>
      <c r="J98" s="447"/>
      <c r="K98" s="447"/>
      <c r="L98" s="447"/>
      <c r="M98" s="447"/>
    </row>
    <row r="99" spans="1:13" ht="15" customHeight="1" x14ac:dyDescent="0.35">
      <c r="A99" s="447"/>
      <c r="B99" s="447"/>
      <c r="C99" s="447"/>
      <c r="D99" s="1821"/>
      <c r="E99" s="1821"/>
      <c r="F99" s="1821"/>
      <c r="G99" s="1821"/>
      <c r="H99" s="447"/>
      <c r="I99" s="447"/>
      <c r="J99" s="447"/>
      <c r="K99" s="447"/>
      <c r="L99" s="447"/>
      <c r="M99" s="447"/>
    </row>
    <row r="100" spans="1:13" ht="15" customHeight="1" x14ac:dyDescent="0.35">
      <c r="A100" s="447"/>
      <c r="B100" s="447"/>
      <c r="C100" s="447"/>
      <c r="D100" s="1821"/>
      <c r="E100" s="1821"/>
      <c r="F100" s="1821"/>
      <c r="G100" s="1821"/>
      <c r="H100" s="447"/>
      <c r="I100" s="447"/>
      <c r="J100" s="447"/>
      <c r="K100" s="447"/>
      <c r="L100" s="447"/>
      <c r="M100" s="447"/>
    </row>
    <row r="101" spans="1:13" ht="15" customHeight="1" x14ac:dyDescent="0.35">
      <c r="A101" s="447"/>
      <c r="B101" s="447"/>
      <c r="C101" s="447"/>
      <c r="D101" s="1821"/>
      <c r="E101" s="1821"/>
      <c r="F101" s="1821"/>
      <c r="G101" s="1821"/>
      <c r="H101" s="447"/>
      <c r="I101" s="447"/>
      <c r="J101" s="447"/>
      <c r="K101" s="447"/>
      <c r="L101" s="447"/>
      <c r="M101" s="447"/>
    </row>
    <row r="102" spans="1:13" ht="15" customHeight="1" x14ac:dyDescent="0.35">
      <c r="A102" s="447"/>
      <c r="B102" s="447"/>
      <c r="C102" s="447"/>
      <c r="D102" s="1821"/>
      <c r="E102" s="1821"/>
      <c r="F102" s="1821"/>
      <c r="G102" s="1821"/>
      <c r="H102" s="447"/>
      <c r="I102" s="447"/>
      <c r="J102" s="447"/>
      <c r="K102" s="447"/>
      <c r="L102" s="447"/>
      <c r="M102" s="447"/>
    </row>
    <row r="103" spans="1:13" ht="15" customHeight="1" x14ac:dyDescent="0.35">
      <c r="A103" s="447"/>
      <c r="B103" s="447"/>
      <c r="C103" s="447"/>
      <c r="D103" s="1821"/>
      <c r="E103" s="1821"/>
      <c r="F103" s="1821"/>
      <c r="G103" s="1821"/>
      <c r="H103" s="447"/>
      <c r="I103" s="447"/>
      <c r="J103" s="447"/>
      <c r="K103" s="447"/>
      <c r="L103" s="447"/>
      <c r="M103" s="447"/>
    </row>
    <row r="104" spans="1:13" ht="15" customHeight="1" x14ac:dyDescent="0.35">
      <c r="A104" s="447"/>
      <c r="B104" s="447"/>
      <c r="C104" s="447"/>
      <c r="D104" s="1821"/>
      <c r="E104" s="1821"/>
      <c r="F104" s="1821"/>
      <c r="G104" s="1821"/>
      <c r="H104" s="447"/>
      <c r="I104" s="447"/>
      <c r="J104" s="447"/>
      <c r="K104" s="447"/>
      <c r="L104" s="447"/>
      <c r="M104" s="447"/>
    </row>
    <row r="105" spans="1:13" ht="15" customHeight="1" x14ac:dyDescent="0.35">
      <c r="A105" s="447"/>
      <c r="B105" s="447"/>
      <c r="C105" s="447"/>
      <c r="D105" s="1821"/>
      <c r="E105" s="1821"/>
      <c r="F105" s="1821"/>
      <c r="G105" s="1821"/>
      <c r="H105" s="447"/>
      <c r="I105" s="447"/>
      <c r="J105" s="447"/>
      <c r="K105" s="447"/>
      <c r="L105" s="447"/>
      <c r="M105" s="447"/>
    </row>
    <row r="106" spans="1:13" ht="15" customHeight="1" x14ac:dyDescent="0.35">
      <c r="A106" s="447"/>
      <c r="B106" s="447"/>
      <c r="C106" s="447"/>
      <c r="D106" s="1821"/>
      <c r="E106" s="1821"/>
      <c r="F106" s="1821"/>
      <c r="G106" s="1821"/>
      <c r="H106" s="447"/>
      <c r="I106" s="447"/>
      <c r="J106" s="447"/>
      <c r="K106" s="447"/>
      <c r="L106" s="447"/>
      <c r="M106" s="447"/>
    </row>
    <row r="107" spans="1:13" ht="15" customHeight="1" x14ac:dyDescent="0.35">
      <c r="A107" s="447"/>
      <c r="B107" s="447"/>
      <c r="C107" s="447"/>
      <c r="D107" s="1821"/>
      <c r="E107" s="1821"/>
      <c r="F107" s="1821"/>
      <c r="G107" s="1821"/>
      <c r="H107" s="447"/>
      <c r="I107" s="447"/>
      <c r="J107" s="447"/>
      <c r="K107" s="447"/>
      <c r="L107" s="447"/>
      <c r="M107" s="447"/>
    </row>
    <row r="108" spans="1:13" ht="15" customHeight="1" x14ac:dyDescent="0.35">
      <c r="A108" s="447"/>
      <c r="B108" s="447"/>
      <c r="C108" s="447"/>
      <c r="D108" s="1821"/>
      <c r="E108" s="1821"/>
      <c r="F108" s="1821"/>
      <c r="G108" s="1821"/>
      <c r="H108" s="447"/>
      <c r="I108" s="447"/>
      <c r="J108" s="447"/>
      <c r="K108" s="447"/>
      <c r="L108" s="447"/>
      <c r="M108" s="447"/>
    </row>
    <row r="109" spans="1:13" ht="15" customHeight="1" x14ac:dyDescent="0.35">
      <c r="A109" s="447"/>
      <c r="B109" s="447"/>
      <c r="C109" s="447"/>
      <c r="D109" s="1821"/>
      <c r="E109" s="1821"/>
      <c r="F109" s="1821"/>
      <c r="G109" s="1821"/>
      <c r="H109" s="447"/>
      <c r="I109" s="447"/>
      <c r="J109" s="447"/>
      <c r="K109" s="447"/>
      <c r="L109" s="447"/>
      <c r="M109" s="447"/>
    </row>
    <row r="110" spans="1:13" ht="15" customHeight="1" x14ac:dyDescent="0.35">
      <c r="A110" s="447"/>
      <c r="B110" s="447"/>
      <c r="C110" s="447"/>
      <c r="D110" s="1821"/>
      <c r="E110" s="1821"/>
      <c r="F110" s="1821"/>
      <c r="G110" s="1821"/>
      <c r="H110" s="447"/>
      <c r="I110" s="447"/>
      <c r="J110" s="447"/>
      <c r="K110" s="447"/>
      <c r="L110" s="447"/>
      <c r="M110" s="447"/>
    </row>
    <row r="111" spans="1:13" ht="15" customHeight="1" x14ac:dyDescent="0.35">
      <c r="A111" s="447"/>
      <c r="B111" s="447"/>
      <c r="C111" s="447"/>
      <c r="D111" s="1821"/>
      <c r="E111" s="1821"/>
      <c r="F111" s="1821"/>
      <c r="G111" s="1821"/>
      <c r="H111" s="447"/>
      <c r="I111" s="447"/>
      <c r="J111" s="447"/>
      <c r="K111" s="447"/>
      <c r="L111" s="447"/>
      <c r="M111" s="447"/>
    </row>
    <row r="112" spans="1:13" ht="15" customHeight="1" x14ac:dyDescent="0.35">
      <c r="A112" s="447"/>
      <c r="B112" s="447"/>
      <c r="C112" s="447"/>
      <c r="D112" s="1821"/>
      <c r="E112" s="1821"/>
      <c r="F112" s="1821"/>
      <c r="G112" s="1821"/>
      <c r="H112" s="447"/>
      <c r="I112" s="447"/>
      <c r="J112" s="447"/>
      <c r="K112" s="447"/>
      <c r="L112" s="447"/>
      <c r="M112" s="447"/>
    </row>
    <row r="113" spans="1:13" ht="15" customHeight="1" x14ac:dyDescent="0.35">
      <c r="A113" s="447"/>
      <c r="B113" s="447"/>
      <c r="C113" s="447"/>
      <c r="D113" s="1821"/>
      <c r="E113" s="1821"/>
      <c r="F113" s="1821"/>
      <c r="G113" s="1821"/>
      <c r="H113" s="447"/>
      <c r="I113" s="447"/>
      <c r="J113" s="447"/>
      <c r="K113" s="447"/>
      <c r="L113" s="447"/>
      <c r="M113" s="447"/>
    </row>
    <row r="114" spans="1:13" ht="15" customHeight="1" x14ac:dyDescent="0.35">
      <c r="A114" s="447"/>
      <c r="B114" s="447"/>
      <c r="C114" s="447"/>
      <c r="D114" s="1821"/>
      <c r="E114" s="1821"/>
      <c r="F114" s="1821"/>
      <c r="G114" s="1821"/>
      <c r="H114" s="447"/>
      <c r="I114" s="447"/>
      <c r="J114" s="447"/>
      <c r="K114" s="447"/>
      <c r="L114" s="447"/>
      <c r="M114" s="447"/>
    </row>
    <row r="115" spans="1:13" ht="15" customHeight="1" x14ac:dyDescent="0.35">
      <c r="A115" s="447"/>
      <c r="B115" s="447"/>
      <c r="C115" s="447"/>
      <c r="D115" s="1821"/>
      <c r="E115" s="1821"/>
      <c r="F115" s="1821"/>
      <c r="G115" s="1821"/>
      <c r="H115" s="447"/>
      <c r="I115" s="447"/>
      <c r="J115" s="447"/>
      <c r="K115" s="447"/>
      <c r="L115" s="447"/>
      <c r="M115" s="447"/>
    </row>
    <row r="116" spans="1:13" ht="15" customHeight="1" x14ac:dyDescent="0.35">
      <c r="A116" s="447"/>
      <c r="B116" s="447"/>
      <c r="C116" s="447"/>
      <c r="D116" s="1821"/>
      <c r="E116" s="1821"/>
      <c r="F116" s="1821"/>
      <c r="G116" s="1821"/>
      <c r="H116" s="447"/>
      <c r="I116" s="447"/>
      <c r="J116" s="447"/>
      <c r="K116" s="447"/>
      <c r="L116" s="447"/>
      <c r="M116" s="447"/>
    </row>
    <row r="117" spans="1:13" ht="15" customHeight="1" x14ac:dyDescent="0.35">
      <c r="A117" s="447"/>
      <c r="B117" s="447"/>
      <c r="C117" s="447"/>
      <c r="D117" s="1821"/>
      <c r="E117" s="1821"/>
      <c r="F117" s="1821"/>
      <c r="G117" s="1821"/>
      <c r="H117" s="447"/>
      <c r="I117" s="447"/>
      <c r="J117" s="447"/>
      <c r="K117" s="447"/>
      <c r="L117" s="447"/>
      <c r="M117" s="447"/>
    </row>
    <row r="118" spans="1:13" ht="15" customHeight="1" x14ac:dyDescent="0.35">
      <c r="A118" s="447"/>
      <c r="B118" s="447"/>
      <c r="C118" s="447"/>
      <c r="D118" s="1821"/>
      <c r="E118" s="1821"/>
      <c r="F118" s="1821"/>
      <c r="G118" s="1821"/>
      <c r="H118" s="447"/>
      <c r="I118" s="447"/>
      <c r="J118" s="447"/>
      <c r="K118" s="447"/>
      <c r="L118" s="447"/>
      <c r="M118" s="447"/>
    </row>
    <row r="119" spans="1:13" ht="15" customHeight="1" x14ac:dyDescent="0.35">
      <c r="A119" s="447"/>
      <c r="B119" s="447"/>
      <c r="C119" s="447"/>
      <c r="D119" s="1821"/>
      <c r="E119" s="1821"/>
      <c r="F119" s="1821"/>
      <c r="G119" s="1821"/>
      <c r="H119" s="447"/>
      <c r="I119" s="447"/>
      <c r="J119" s="447"/>
      <c r="K119" s="447"/>
      <c r="L119" s="447"/>
      <c r="M119" s="447"/>
    </row>
    <row r="120" spans="1:13" ht="15" customHeight="1" x14ac:dyDescent="0.35">
      <c r="A120" s="447"/>
      <c r="B120" s="447"/>
      <c r="C120" s="447"/>
      <c r="D120" s="1821"/>
      <c r="E120" s="1821"/>
      <c r="F120" s="1821"/>
      <c r="G120" s="1821"/>
      <c r="H120" s="447"/>
      <c r="I120" s="447"/>
      <c r="J120" s="447"/>
      <c r="K120" s="447"/>
      <c r="L120" s="447"/>
      <c r="M120" s="447"/>
    </row>
    <row r="121" spans="1:13" ht="15" customHeight="1" x14ac:dyDescent="0.35">
      <c r="A121" s="447"/>
      <c r="B121" s="447"/>
      <c r="C121" s="447"/>
      <c r="D121" s="1821"/>
      <c r="E121" s="1821"/>
      <c r="F121" s="1821"/>
      <c r="G121" s="1821"/>
      <c r="H121" s="447"/>
      <c r="I121" s="447"/>
      <c r="J121" s="447"/>
      <c r="K121" s="447"/>
      <c r="L121" s="447"/>
      <c r="M121" s="447"/>
    </row>
    <row r="122" spans="1:13" ht="15" customHeight="1" x14ac:dyDescent="0.3">
      <c r="D122" s="36"/>
      <c r="E122" s="36"/>
      <c r="F122" s="36"/>
      <c r="G122" s="36"/>
    </row>
    <row r="123" spans="1:13" ht="15" customHeight="1" x14ac:dyDescent="0.3">
      <c r="D123" s="36"/>
      <c r="E123" s="36"/>
      <c r="F123" s="36"/>
      <c r="G123" s="36"/>
    </row>
    <row r="124" spans="1:13" ht="15" customHeight="1" x14ac:dyDescent="0.3">
      <c r="D124" s="36"/>
      <c r="E124" s="36"/>
      <c r="F124" s="36"/>
      <c r="G124" s="36"/>
    </row>
    <row r="125" spans="1:13" ht="15" customHeight="1" x14ac:dyDescent="0.3">
      <c r="D125" s="36"/>
      <c r="E125" s="36"/>
      <c r="F125" s="36"/>
      <c r="G125" s="36"/>
    </row>
    <row r="126" spans="1:13" ht="15" customHeight="1" x14ac:dyDescent="0.3">
      <c r="D126" s="36"/>
      <c r="E126" s="36"/>
      <c r="F126" s="36"/>
      <c r="G126" s="36"/>
    </row>
    <row r="127" spans="1:13" ht="15" customHeight="1" x14ac:dyDescent="0.3">
      <c r="D127" s="36"/>
      <c r="E127" s="36"/>
      <c r="F127" s="36"/>
      <c r="G127" s="36"/>
    </row>
    <row r="128" spans="1:13" ht="15" customHeight="1" x14ac:dyDescent="0.3">
      <c r="D128" s="36"/>
      <c r="E128" s="36"/>
      <c r="F128" s="36"/>
      <c r="G128" s="36"/>
    </row>
    <row r="129" spans="4:7" ht="15" customHeight="1" x14ac:dyDescent="0.3">
      <c r="D129" s="36"/>
      <c r="E129" s="36"/>
      <c r="F129" s="36"/>
      <c r="G129" s="36"/>
    </row>
    <row r="130" spans="4:7" ht="15" customHeight="1" x14ac:dyDescent="0.3">
      <c r="D130" s="36"/>
      <c r="E130" s="36"/>
      <c r="F130" s="36"/>
      <c r="G130" s="36"/>
    </row>
    <row r="131" spans="4:7" ht="15" customHeight="1" x14ac:dyDescent="0.3">
      <c r="D131" s="36"/>
      <c r="E131" s="36"/>
      <c r="F131" s="36"/>
      <c r="G131" s="36"/>
    </row>
    <row r="132" spans="4:7" ht="15" customHeight="1" x14ac:dyDescent="0.3">
      <c r="D132" s="36"/>
      <c r="E132" s="36"/>
      <c r="F132" s="36"/>
      <c r="G132" s="36"/>
    </row>
    <row r="133" spans="4:7" ht="15" customHeight="1" x14ac:dyDescent="0.3">
      <c r="D133" s="36"/>
      <c r="E133" s="36"/>
      <c r="F133" s="36"/>
      <c r="G133" s="36"/>
    </row>
    <row r="134" spans="4:7" ht="15" customHeight="1" x14ac:dyDescent="0.3">
      <c r="D134" s="36"/>
      <c r="E134" s="36"/>
      <c r="F134" s="36"/>
      <c r="G134" s="36"/>
    </row>
    <row r="135" spans="4:7" ht="15" customHeight="1" x14ac:dyDescent="0.3">
      <c r="D135" s="36"/>
      <c r="E135" s="36"/>
      <c r="F135" s="36"/>
      <c r="G135" s="36"/>
    </row>
    <row r="136" spans="4:7" ht="15" customHeight="1" x14ac:dyDescent="0.3">
      <c r="D136" s="36"/>
      <c r="E136" s="36"/>
      <c r="F136" s="36"/>
      <c r="G136" s="36"/>
    </row>
    <row r="137" spans="4:7" ht="15" customHeight="1" x14ac:dyDescent="0.3">
      <c r="D137" s="36"/>
      <c r="E137" s="36"/>
      <c r="F137" s="36"/>
      <c r="G137" s="36"/>
    </row>
    <row r="138" spans="4:7" ht="15" customHeight="1" x14ac:dyDescent="0.3">
      <c r="D138" s="36"/>
      <c r="E138" s="36"/>
      <c r="F138" s="36"/>
      <c r="G138" s="36"/>
    </row>
    <row r="139" spans="4:7" ht="15" customHeight="1" x14ac:dyDescent="0.3">
      <c r="D139" s="36"/>
      <c r="E139" s="36"/>
      <c r="F139" s="36"/>
      <c r="G139" s="36"/>
    </row>
    <row r="140" spans="4:7" ht="15" customHeight="1" x14ac:dyDescent="0.3">
      <c r="D140" s="36"/>
      <c r="E140" s="36"/>
      <c r="F140" s="36"/>
      <c r="G140" s="36"/>
    </row>
    <row r="141" spans="4:7" ht="15" customHeight="1" x14ac:dyDescent="0.3">
      <c r="D141" s="36"/>
      <c r="E141" s="36"/>
      <c r="F141" s="36"/>
      <c r="G141" s="36"/>
    </row>
    <row r="142" spans="4:7" ht="15" customHeight="1" x14ac:dyDescent="0.3">
      <c r="D142" s="36"/>
      <c r="E142" s="36"/>
      <c r="F142" s="36"/>
      <c r="G142" s="36"/>
    </row>
    <row r="143" spans="4:7" ht="15" customHeight="1" x14ac:dyDescent="0.3">
      <c r="D143" s="36"/>
      <c r="E143" s="36"/>
      <c r="F143" s="36"/>
      <c r="G143" s="36"/>
    </row>
    <row r="144" spans="4:7" ht="15" customHeight="1" x14ac:dyDescent="0.3">
      <c r="D144" s="36"/>
      <c r="E144" s="36"/>
      <c r="F144" s="36"/>
      <c r="G144" s="36"/>
    </row>
    <row r="145" spans="4:7" ht="15" customHeight="1" x14ac:dyDescent="0.3">
      <c r="D145" s="36"/>
      <c r="E145" s="36"/>
      <c r="F145" s="36"/>
      <c r="G145" s="36"/>
    </row>
    <row r="146" spans="4:7" ht="15" customHeight="1" x14ac:dyDescent="0.3">
      <c r="D146" s="36"/>
      <c r="E146" s="36"/>
      <c r="F146" s="36"/>
      <c r="G146" s="36"/>
    </row>
    <row r="147" spans="4:7" ht="15" customHeight="1" x14ac:dyDescent="0.3">
      <c r="D147" s="36"/>
      <c r="E147" s="36"/>
      <c r="F147" s="36"/>
      <c r="G147" s="36"/>
    </row>
    <row r="148" spans="4:7" ht="15" customHeight="1" x14ac:dyDescent="0.3">
      <c r="D148" s="36"/>
      <c r="E148" s="36"/>
      <c r="F148" s="36"/>
      <c r="G148" s="36"/>
    </row>
    <row r="149" spans="4:7" ht="15" customHeight="1" x14ac:dyDescent="0.3">
      <c r="D149" s="36"/>
      <c r="E149" s="36"/>
      <c r="F149" s="36"/>
      <c r="G149" s="36"/>
    </row>
    <row r="150" spans="4:7" ht="15" customHeight="1" x14ac:dyDescent="0.3">
      <c r="D150" s="36"/>
      <c r="E150" s="36"/>
      <c r="F150" s="36"/>
      <c r="G150" s="36"/>
    </row>
    <row r="151" spans="4:7" ht="15" customHeight="1" x14ac:dyDescent="0.3">
      <c r="D151" s="36"/>
      <c r="E151" s="36"/>
      <c r="F151" s="36"/>
      <c r="G151" s="36"/>
    </row>
    <row r="152" spans="4:7" ht="15" customHeight="1" x14ac:dyDescent="0.3">
      <c r="D152" s="36"/>
      <c r="E152" s="36"/>
      <c r="F152" s="36"/>
      <c r="G152" s="36"/>
    </row>
    <row r="153" spans="4:7" ht="15" customHeight="1" x14ac:dyDescent="0.3">
      <c r="D153" s="36"/>
      <c r="E153" s="36"/>
      <c r="F153" s="36"/>
      <c r="G153" s="36"/>
    </row>
    <row r="154" spans="4:7" ht="15" customHeight="1" x14ac:dyDescent="0.3">
      <c r="D154" s="36"/>
      <c r="E154" s="36"/>
      <c r="F154" s="36"/>
      <c r="G154" s="36"/>
    </row>
    <row r="192" spans="7:7" ht="15" customHeight="1" x14ac:dyDescent="0.25">
      <c r="G192" s="19">
        <f>+E192-F192-H192-H193-H194-H195-H196-H197-H198</f>
        <v>0</v>
      </c>
    </row>
  </sheetData>
  <mergeCells count="13">
    <mergeCell ref="A2:M2"/>
    <mergeCell ref="D4:E4"/>
    <mergeCell ref="J4:K4"/>
    <mergeCell ref="D27:E27"/>
    <mergeCell ref="J27:K27"/>
    <mergeCell ref="A25:C25"/>
    <mergeCell ref="H25:I25"/>
    <mergeCell ref="A46:C46"/>
    <mergeCell ref="H46:I46"/>
    <mergeCell ref="H57:I57"/>
    <mergeCell ref="H60:I60"/>
    <mergeCell ref="A60:C60"/>
    <mergeCell ref="A57:C57"/>
  </mergeCells>
  <phoneticPr fontId="0" type="noConversion"/>
  <printOptions horizontalCentered="1" verticalCentered="1"/>
  <pageMargins left="0" right="0" top="0.39370078740157483" bottom="0" header="0" footer="0"/>
  <pageSetup paperSize="9" scale="43" orientation="landscape" r:id="rId1"/>
  <headerFooter alignWithMargins="0">
    <oddHeader xml:space="preserve">&amp;L
&amp;R&amp;"-,Félkövér"&amp;14 2. melléklet a 13/2023. (V.26.) önkormányzati rendelethez  </oddHeader>
  </headerFooter>
  <rowBreaks count="1" manualBreakCount="1">
    <brk id="25" max="1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830AE-479E-4B55-BDEC-99542D9A48DA}">
  <dimension ref="A1:C23"/>
  <sheetViews>
    <sheetView view="pageLayout" topLeftCell="A104" zoomScaleNormal="100" zoomScaleSheetLayoutView="75" workbookViewId="0">
      <selection activeCell="C110" sqref="C110"/>
    </sheetView>
  </sheetViews>
  <sheetFormatPr defaultColWidth="10.6640625" defaultRowHeight="12.75" x14ac:dyDescent="0.2"/>
  <cols>
    <col min="1" max="1" width="11" style="576" customWidth="1"/>
    <col min="2" max="2" width="108.1640625" style="576" customWidth="1"/>
    <col min="3" max="3" width="31.83203125" style="577" customWidth="1"/>
    <col min="4" max="4" width="15.33203125" style="576" customWidth="1"/>
    <col min="5" max="16384" width="10.6640625" style="576"/>
  </cols>
  <sheetData>
    <row r="1" spans="1:3" ht="15.75" x14ac:dyDescent="0.25">
      <c r="A1" s="2108" t="s">
        <v>665</v>
      </c>
      <c r="B1" s="2108"/>
      <c r="C1" s="2108"/>
    </row>
    <row r="2" spans="1:3" ht="15.75" x14ac:dyDescent="0.25">
      <c r="A2" s="2108" t="s">
        <v>666</v>
      </c>
      <c r="B2" s="2108"/>
      <c r="C2" s="2108"/>
    </row>
    <row r="3" spans="1:3" ht="15.75" x14ac:dyDescent="0.25">
      <c r="A3" s="2108" t="s">
        <v>1171</v>
      </c>
      <c r="B3" s="2108"/>
      <c r="C3" s="2108"/>
    </row>
    <row r="4" spans="1:3" ht="16.5" thickBot="1" x14ac:dyDescent="0.3">
      <c r="A4" s="1695"/>
      <c r="B4" s="1695"/>
      <c r="C4" s="1696" t="s">
        <v>17</v>
      </c>
    </row>
    <row r="5" spans="1:3" ht="16.5" thickBot="1" x14ac:dyDescent="0.3">
      <c r="A5" s="1697" t="s">
        <v>667</v>
      </c>
      <c r="B5" s="1697" t="s">
        <v>31</v>
      </c>
      <c r="C5" s="1697" t="s">
        <v>668</v>
      </c>
    </row>
    <row r="6" spans="1:3" ht="40.5" customHeight="1" x14ac:dyDescent="0.25">
      <c r="A6" s="1698" t="s">
        <v>182</v>
      </c>
      <c r="B6" s="1699" t="s">
        <v>669</v>
      </c>
      <c r="C6" s="1700">
        <v>35812</v>
      </c>
    </row>
    <row r="7" spans="1:3" ht="39" customHeight="1" x14ac:dyDescent="0.25">
      <c r="A7" s="1701" t="s">
        <v>35</v>
      </c>
      <c r="B7" s="1702" t="s">
        <v>670</v>
      </c>
      <c r="C7" s="1703"/>
    </row>
    <row r="8" spans="1:3" ht="33.75" customHeight="1" x14ac:dyDescent="0.25">
      <c r="A8" s="1704" t="s">
        <v>183</v>
      </c>
      <c r="B8" s="1705" t="s">
        <v>671</v>
      </c>
      <c r="C8" s="1706"/>
    </row>
    <row r="9" spans="1:3" ht="15.95" customHeight="1" x14ac:dyDescent="0.25">
      <c r="A9" s="1701"/>
      <c r="B9" s="1695" t="s">
        <v>672</v>
      </c>
      <c r="C9" s="1703">
        <v>72</v>
      </c>
    </row>
    <row r="10" spans="1:3" ht="15.95" customHeight="1" x14ac:dyDescent="0.25">
      <c r="A10" s="1701"/>
      <c r="B10" s="1695" t="s">
        <v>673</v>
      </c>
      <c r="C10" s="1703">
        <v>39</v>
      </c>
    </row>
    <row r="11" spans="1:3" ht="15.95" customHeight="1" x14ac:dyDescent="0.25">
      <c r="A11" s="1701"/>
      <c r="B11" s="1695" t="s">
        <v>674</v>
      </c>
      <c r="C11" s="1703"/>
    </row>
    <row r="12" spans="1:3" ht="15.95" customHeight="1" x14ac:dyDescent="0.25">
      <c r="A12" s="1701"/>
      <c r="B12" s="1707" t="s">
        <v>675</v>
      </c>
      <c r="C12" s="1703">
        <v>184124</v>
      </c>
    </row>
    <row r="13" spans="1:3" ht="15.95" customHeight="1" x14ac:dyDescent="0.25">
      <c r="A13" s="1701"/>
      <c r="B13" s="1695" t="s">
        <v>676</v>
      </c>
      <c r="C13" s="1703">
        <v>518</v>
      </c>
    </row>
    <row r="14" spans="1:3" ht="36.75" customHeight="1" x14ac:dyDescent="0.25">
      <c r="A14" s="1708" t="s">
        <v>184</v>
      </c>
      <c r="B14" s="1709" t="s">
        <v>677</v>
      </c>
      <c r="C14" s="1710">
        <v>60078</v>
      </c>
    </row>
    <row r="15" spans="1:3" ht="30.75" customHeight="1" thickBot="1" x14ac:dyDescent="0.3">
      <c r="A15" s="1708" t="s">
        <v>186</v>
      </c>
      <c r="B15" s="1709" t="s">
        <v>678</v>
      </c>
      <c r="C15" s="1710">
        <v>13662</v>
      </c>
    </row>
    <row r="16" spans="1:3" ht="23.25" customHeight="1" thickBot="1" x14ac:dyDescent="0.3">
      <c r="A16" s="1711"/>
      <c r="B16" s="1712" t="s">
        <v>679</v>
      </c>
      <c r="C16" s="1713">
        <f>SUM(C6:C15)</f>
        <v>294305</v>
      </c>
    </row>
    <row r="17" spans="1:3" ht="15.75" x14ac:dyDescent="0.25">
      <c r="A17" s="1695"/>
      <c r="B17" s="1695"/>
      <c r="C17" s="1695"/>
    </row>
    <row r="18" spans="1:3" ht="15.75" x14ac:dyDescent="0.25">
      <c r="A18" s="1714"/>
      <c r="B18" s="989" t="s">
        <v>680</v>
      </c>
      <c r="C18" s="1695"/>
    </row>
    <row r="19" spans="1:3" ht="46.5" customHeight="1" x14ac:dyDescent="0.25">
      <c r="A19" s="1695"/>
      <c r="B19" s="990" t="s">
        <v>681</v>
      </c>
      <c r="C19" s="991"/>
    </row>
    <row r="20" spans="1:3" ht="15.75" x14ac:dyDescent="0.25">
      <c r="A20" s="1695"/>
      <c r="B20" s="991" t="s">
        <v>682</v>
      </c>
      <c r="C20" s="991"/>
    </row>
    <row r="21" spans="1:3" ht="15.75" x14ac:dyDescent="0.25">
      <c r="A21" s="1695"/>
      <c r="B21" s="991" t="s">
        <v>683</v>
      </c>
      <c r="C21" s="991"/>
    </row>
    <row r="22" spans="1:3" ht="15.75" x14ac:dyDescent="0.25">
      <c r="A22" s="1695"/>
      <c r="B22" s="991" t="s">
        <v>684</v>
      </c>
      <c r="C22" s="991"/>
    </row>
    <row r="23" spans="1:3" ht="15.75" x14ac:dyDescent="0.25">
      <c r="A23" s="1695"/>
      <c r="B23" s="991"/>
      <c r="C23" s="991"/>
    </row>
  </sheetData>
  <mergeCells count="3">
    <mergeCell ref="A1:C1"/>
    <mergeCell ref="A2:C2"/>
    <mergeCell ref="A3:C3"/>
  </mergeCells>
  <printOptions horizontalCentered="1" verticalCentered="1"/>
  <pageMargins left="0.59055118110236227" right="0.59055118110236227" top="0.98425196850393704" bottom="0.98425196850393704" header="0.51181102362204722" footer="0.51181102362204722"/>
  <pageSetup paperSize="9" scale="95" orientation="landscape" r:id="rId1"/>
  <headerFooter alignWithMargins="0">
    <oddHeader>&amp;R&amp;"Arial CE,Félkövér"&amp;10  &amp;"-,Félkövér"&amp;11 20. melléklet a 13/2023. (V.26.)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0960F-F1F3-471E-8DE1-EF3243B1C5AF}">
  <dimension ref="A1:F93"/>
  <sheetViews>
    <sheetView view="pageLayout" topLeftCell="A90" zoomScaleNormal="75" workbookViewId="0">
      <selection activeCell="B95" sqref="B95"/>
    </sheetView>
  </sheetViews>
  <sheetFormatPr defaultColWidth="10.6640625" defaultRowHeight="14.25" x14ac:dyDescent="0.2"/>
  <cols>
    <col min="1" max="1" width="6.5" style="578" customWidth="1"/>
    <col min="2" max="2" width="144.1640625" style="578" customWidth="1"/>
    <col min="3" max="3" width="33.5" style="578" customWidth="1"/>
    <col min="4" max="4" width="34" style="578" customWidth="1"/>
    <col min="5" max="5" width="16.83203125" style="578" customWidth="1"/>
    <col min="6" max="6" width="15.5" style="578" customWidth="1"/>
    <col min="7" max="11" width="10.6640625" style="578" customWidth="1"/>
    <col min="12" max="16384" width="10.6640625" style="578"/>
  </cols>
  <sheetData>
    <row r="1" spans="2:5" ht="18.75" x14ac:dyDescent="0.3">
      <c r="B1" s="2107" t="s">
        <v>685</v>
      </c>
      <c r="C1" s="2107"/>
      <c r="D1" s="2107"/>
    </row>
    <row r="2" spans="2:5" ht="18.75" x14ac:dyDescent="0.3">
      <c r="B2" s="2107" t="s">
        <v>1194</v>
      </c>
      <c r="C2" s="2107"/>
      <c r="D2" s="2107"/>
    </row>
    <row r="3" spans="2:5" ht="18.75" x14ac:dyDescent="0.3">
      <c r="B3" s="2107"/>
      <c r="C3" s="2107"/>
      <c r="D3" s="2107"/>
    </row>
    <row r="4" spans="2:5" ht="19.5" thickBot="1" x14ac:dyDescent="0.35">
      <c r="B4" s="992"/>
      <c r="C4" s="735"/>
      <c r="D4" s="993" t="s">
        <v>17</v>
      </c>
    </row>
    <row r="5" spans="2:5" s="8" customFormat="1" ht="25.5" customHeight="1" x14ac:dyDescent="0.3">
      <c r="B5" s="994" t="s">
        <v>686</v>
      </c>
      <c r="C5" s="995" t="s">
        <v>515</v>
      </c>
      <c r="D5" s="361" t="s">
        <v>515</v>
      </c>
    </row>
    <row r="6" spans="2:5" s="8" customFormat="1" ht="26.25" customHeight="1" thickBot="1" x14ac:dyDescent="0.35">
      <c r="B6" s="996"/>
      <c r="C6" s="272" t="s">
        <v>98</v>
      </c>
      <c r="D6" s="273" t="s">
        <v>99</v>
      </c>
    </row>
    <row r="7" spans="2:5" s="8" customFormat="1" ht="18.95" customHeight="1" x14ac:dyDescent="0.3">
      <c r="B7" s="997" t="s">
        <v>687</v>
      </c>
      <c r="C7" s="998"/>
      <c r="D7" s="999"/>
    </row>
    <row r="8" spans="2:5" s="8" customFormat="1" ht="27" customHeight="1" x14ac:dyDescent="0.3">
      <c r="B8" s="1000" t="s">
        <v>419</v>
      </c>
      <c r="C8" s="1001">
        <v>1000</v>
      </c>
      <c r="D8" s="1002">
        <v>1000</v>
      </c>
    </row>
    <row r="9" spans="2:5" s="8" customFormat="1" ht="24" customHeight="1" x14ac:dyDescent="0.3">
      <c r="B9" s="1003" t="s">
        <v>688</v>
      </c>
      <c r="C9" s="1001"/>
      <c r="D9" s="1004"/>
    </row>
    <row r="10" spans="2:5" s="8" customFormat="1" ht="41.25" customHeight="1" x14ac:dyDescent="0.3">
      <c r="B10" s="1005" t="s">
        <v>573</v>
      </c>
      <c r="C10" s="1006">
        <v>600000</v>
      </c>
      <c r="D10" s="1007">
        <v>31129</v>
      </c>
      <c r="E10" s="658"/>
    </row>
    <row r="11" spans="2:5" s="8" customFormat="1" ht="27" customHeight="1" x14ac:dyDescent="0.3">
      <c r="B11" s="1008" t="s">
        <v>510</v>
      </c>
      <c r="C11" s="1009">
        <v>1931</v>
      </c>
      <c r="D11" s="1010">
        <v>1931</v>
      </c>
    </row>
    <row r="12" spans="2:5" s="8" customFormat="1" ht="27" customHeight="1" x14ac:dyDescent="0.3">
      <c r="B12" s="1005" t="s">
        <v>273</v>
      </c>
      <c r="C12" s="1009">
        <v>36255</v>
      </c>
      <c r="D12" s="1010">
        <v>34157</v>
      </c>
    </row>
    <row r="13" spans="2:5" s="8" customFormat="1" ht="27" customHeight="1" x14ac:dyDescent="0.3">
      <c r="B13" s="1008" t="s">
        <v>276</v>
      </c>
      <c r="C13" s="1009">
        <v>510889</v>
      </c>
      <c r="D13" s="1011">
        <v>324643</v>
      </c>
    </row>
    <row r="14" spans="2:5" s="8" customFormat="1" ht="27" customHeight="1" x14ac:dyDescent="0.3">
      <c r="B14" s="1005" t="s">
        <v>275</v>
      </c>
      <c r="C14" s="1009">
        <v>8224</v>
      </c>
      <c r="D14" s="1011">
        <v>8224</v>
      </c>
    </row>
    <row r="15" spans="2:5" s="8" customFormat="1" ht="41.25" customHeight="1" x14ac:dyDescent="0.3">
      <c r="B15" s="1005" t="s">
        <v>324</v>
      </c>
      <c r="C15" s="1006">
        <v>66854</v>
      </c>
      <c r="D15" s="1007">
        <v>66853</v>
      </c>
      <c r="E15" s="658"/>
    </row>
    <row r="16" spans="2:5" s="8" customFormat="1" ht="41.25" customHeight="1" x14ac:dyDescent="0.3">
      <c r="B16" s="1005" t="s">
        <v>325</v>
      </c>
      <c r="C16" s="1006">
        <v>21800</v>
      </c>
      <c r="D16" s="1007">
        <v>21799</v>
      </c>
      <c r="E16" s="658"/>
    </row>
    <row r="17" spans="2:6" s="8" customFormat="1" ht="27" customHeight="1" x14ac:dyDescent="0.3">
      <c r="B17" s="1005" t="s">
        <v>413</v>
      </c>
      <c r="C17" s="1009">
        <v>202138</v>
      </c>
      <c r="D17" s="1004">
        <v>91994</v>
      </c>
    </row>
    <row r="18" spans="2:6" s="8" customFormat="1" ht="27" customHeight="1" x14ac:dyDescent="0.3">
      <c r="B18" s="1005" t="s">
        <v>444</v>
      </c>
      <c r="C18" s="1009">
        <v>1000</v>
      </c>
      <c r="D18" s="1012"/>
    </row>
    <row r="19" spans="2:6" s="8" customFormat="1" ht="24.75" customHeight="1" thickBot="1" x14ac:dyDescent="0.35">
      <c r="B19" s="1013" t="s">
        <v>689</v>
      </c>
      <c r="C19" s="1014">
        <f>SUM(C8:C18)</f>
        <v>1450091</v>
      </c>
      <c r="D19" s="1015">
        <f>SUM(D8:D18)</f>
        <v>581730</v>
      </c>
      <c r="E19" s="9"/>
      <c r="F19" s="9"/>
    </row>
    <row r="20" spans="2:6" s="8" customFormat="1" ht="19.5" thickBot="1" x14ac:dyDescent="0.35">
      <c r="B20" s="1016"/>
      <c r="C20" s="1016"/>
      <c r="D20" s="1017"/>
      <c r="E20" s="9"/>
      <c r="F20" s="9"/>
    </row>
    <row r="21" spans="2:6" s="8" customFormat="1" ht="26.25" customHeight="1" x14ac:dyDescent="0.3">
      <c r="B21" s="994" t="s">
        <v>690</v>
      </c>
      <c r="C21" s="995" t="s">
        <v>515</v>
      </c>
      <c r="D21" s="361" t="s">
        <v>515</v>
      </c>
    </row>
    <row r="22" spans="2:6" s="8" customFormat="1" ht="25.5" customHeight="1" thickBot="1" x14ac:dyDescent="0.35">
      <c r="B22" s="1018"/>
      <c r="C22" s="272" t="s">
        <v>98</v>
      </c>
      <c r="D22" s="273" t="s">
        <v>99</v>
      </c>
    </row>
    <row r="23" spans="2:6" s="8" customFormat="1" ht="21" customHeight="1" x14ac:dyDescent="0.3">
      <c r="B23" s="997" t="s">
        <v>687</v>
      </c>
      <c r="C23" s="1019"/>
      <c r="D23" s="1020"/>
    </row>
    <row r="24" spans="2:6" s="8" customFormat="1" ht="21" customHeight="1" x14ac:dyDescent="0.3">
      <c r="B24" s="1021" t="s">
        <v>691</v>
      </c>
      <c r="C24" s="1022"/>
      <c r="D24" s="716"/>
    </row>
    <row r="25" spans="2:6" s="8" customFormat="1" ht="27" customHeight="1" x14ac:dyDescent="0.3">
      <c r="B25" s="1023" t="s">
        <v>272</v>
      </c>
      <c r="C25" s="1024">
        <v>6268</v>
      </c>
      <c r="D25" s="1025">
        <v>6068</v>
      </c>
    </row>
    <row r="26" spans="2:6" s="8" customFormat="1" ht="27" customHeight="1" x14ac:dyDescent="0.3">
      <c r="B26" s="1023" t="s">
        <v>274</v>
      </c>
      <c r="C26" s="1024">
        <v>4400</v>
      </c>
      <c r="D26" s="1025"/>
    </row>
    <row r="27" spans="2:6" s="8" customFormat="1" ht="27" customHeight="1" x14ac:dyDescent="0.3">
      <c r="B27" s="1008" t="s">
        <v>271</v>
      </c>
      <c r="C27" s="1024">
        <v>9</v>
      </c>
      <c r="D27" s="1025"/>
    </row>
    <row r="28" spans="2:6" s="8" customFormat="1" ht="27" customHeight="1" x14ac:dyDescent="0.3">
      <c r="B28" s="1008" t="s">
        <v>507</v>
      </c>
      <c r="C28" s="1024">
        <v>34333</v>
      </c>
      <c r="D28" s="1026">
        <v>34256</v>
      </c>
    </row>
    <row r="29" spans="2:6" s="8" customFormat="1" ht="27" customHeight="1" x14ac:dyDescent="0.3">
      <c r="B29" s="1008" t="s">
        <v>508</v>
      </c>
      <c r="C29" s="1024">
        <v>1089</v>
      </c>
      <c r="D29" s="1027">
        <v>1089</v>
      </c>
      <c r="E29" s="658"/>
    </row>
    <row r="30" spans="2:6" s="8" customFormat="1" ht="27" customHeight="1" x14ac:dyDescent="0.3">
      <c r="B30" s="1008" t="s">
        <v>480</v>
      </c>
      <c r="C30" s="1024">
        <v>193</v>
      </c>
      <c r="D30" s="1025">
        <v>189</v>
      </c>
    </row>
    <row r="31" spans="2:6" s="8" customFormat="1" ht="27" customHeight="1" thickBot="1" x14ac:dyDescent="0.35">
      <c r="B31" s="1028" t="s">
        <v>602</v>
      </c>
      <c r="C31" s="1029">
        <v>24000</v>
      </c>
      <c r="D31" s="1030">
        <v>3340</v>
      </c>
      <c r="F31" s="9"/>
    </row>
    <row r="32" spans="2:6" s="8" customFormat="1" ht="23.25" customHeight="1" thickBot="1" x14ac:dyDescent="0.35">
      <c r="B32" s="1031" t="s">
        <v>688</v>
      </c>
      <c r="C32" s="1032"/>
      <c r="D32" s="1033"/>
      <c r="E32" s="9"/>
      <c r="F32" s="9"/>
    </row>
    <row r="33" spans="2:5" s="8" customFormat="1" ht="26.25" customHeight="1" x14ac:dyDescent="0.3">
      <c r="B33" s="1034" t="s">
        <v>36</v>
      </c>
      <c r="C33" s="1035"/>
      <c r="D33" s="1036"/>
      <c r="E33" s="9"/>
    </row>
    <row r="34" spans="2:5" s="8" customFormat="1" ht="27" customHeight="1" x14ac:dyDescent="0.3">
      <c r="B34" s="1000" t="s">
        <v>300</v>
      </c>
      <c r="C34" s="1037">
        <v>73533</v>
      </c>
      <c r="D34" s="1038">
        <v>13335</v>
      </c>
    </row>
    <row r="35" spans="2:5" s="8" customFormat="1" ht="27" customHeight="1" x14ac:dyDescent="0.3">
      <c r="B35" s="1000" t="s">
        <v>299</v>
      </c>
      <c r="C35" s="1037">
        <v>201735</v>
      </c>
      <c r="D35" s="1039">
        <v>201735</v>
      </c>
    </row>
    <row r="36" spans="2:5" s="8" customFormat="1" ht="41.25" customHeight="1" x14ac:dyDescent="0.3">
      <c r="B36" s="1005" t="s">
        <v>573</v>
      </c>
      <c r="C36" s="1006">
        <v>600000</v>
      </c>
      <c r="D36" s="1007">
        <v>9144</v>
      </c>
      <c r="E36" s="658"/>
    </row>
    <row r="37" spans="2:5" s="8" customFormat="1" ht="41.25" customHeight="1" x14ac:dyDescent="0.3">
      <c r="B37" s="1005" t="s">
        <v>441</v>
      </c>
      <c r="C37" s="1006">
        <v>14937</v>
      </c>
      <c r="D37" s="1007">
        <v>14937</v>
      </c>
      <c r="E37" s="658"/>
    </row>
    <row r="38" spans="2:5" s="8" customFormat="1" ht="41.25" customHeight="1" x14ac:dyDescent="0.3">
      <c r="B38" s="1005" t="s">
        <v>447</v>
      </c>
      <c r="C38" s="1006">
        <v>6806</v>
      </c>
      <c r="D38" s="1007">
        <v>6626</v>
      </c>
      <c r="E38" s="658"/>
    </row>
    <row r="39" spans="2:5" s="8" customFormat="1" ht="27" customHeight="1" x14ac:dyDescent="0.3">
      <c r="B39" s="1000" t="s">
        <v>442</v>
      </c>
      <c r="C39" s="1040">
        <v>9893</v>
      </c>
      <c r="D39" s="1041">
        <v>9893</v>
      </c>
    </row>
    <row r="40" spans="2:5" s="8" customFormat="1" ht="27" customHeight="1" x14ac:dyDescent="0.3">
      <c r="B40" s="1000" t="s">
        <v>448</v>
      </c>
      <c r="C40" s="1009">
        <v>21028</v>
      </c>
      <c r="D40" s="1038">
        <v>20768</v>
      </c>
    </row>
    <row r="41" spans="2:5" s="8" customFormat="1" ht="27" customHeight="1" x14ac:dyDescent="0.3">
      <c r="B41" s="1000" t="s">
        <v>443</v>
      </c>
      <c r="C41" s="1040">
        <v>7801</v>
      </c>
      <c r="D41" s="1041"/>
    </row>
    <row r="42" spans="2:5" s="8" customFormat="1" ht="41.25" customHeight="1" x14ac:dyDescent="0.3">
      <c r="B42" s="1005" t="s">
        <v>449</v>
      </c>
      <c r="C42" s="1006">
        <v>9866</v>
      </c>
      <c r="D42" s="1007">
        <v>602</v>
      </c>
      <c r="E42" s="658"/>
    </row>
    <row r="43" spans="2:5" s="8" customFormat="1" ht="27" customHeight="1" x14ac:dyDescent="0.3">
      <c r="B43" s="1000" t="s">
        <v>444</v>
      </c>
      <c r="C43" s="1009">
        <v>15748</v>
      </c>
      <c r="D43" s="1038"/>
    </row>
    <row r="44" spans="2:5" s="8" customFormat="1" ht="27" customHeight="1" x14ac:dyDescent="0.3">
      <c r="B44" s="1000" t="s">
        <v>647</v>
      </c>
      <c r="C44" s="1009">
        <v>4252</v>
      </c>
      <c r="D44" s="1038"/>
    </row>
    <row r="45" spans="2:5" s="8" customFormat="1" ht="27" customHeight="1" x14ac:dyDescent="0.3">
      <c r="B45" s="1000" t="s">
        <v>450</v>
      </c>
      <c r="C45" s="1009">
        <v>10029</v>
      </c>
      <c r="D45" s="1038">
        <v>992</v>
      </c>
    </row>
    <row r="46" spans="2:5" s="8" customFormat="1" ht="27" customHeight="1" x14ac:dyDescent="0.3">
      <c r="B46" s="1000" t="s">
        <v>648</v>
      </c>
      <c r="C46" s="1040">
        <v>2342</v>
      </c>
      <c r="D46" s="1041"/>
    </row>
    <row r="47" spans="2:5" s="8" customFormat="1" ht="27" customHeight="1" x14ac:dyDescent="0.3">
      <c r="B47" s="1000" t="s">
        <v>473</v>
      </c>
      <c r="C47" s="1040">
        <v>101848</v>
      </c>
      <c r="D47" s="1041">
        <v>6016</v>
      </c>
    </row>
    <row r="48" spans="2:5" s="8" customFormat="1" ht="27" customHeight="1" x14ac:dyDescent="0.3">
      <c r="B48" s="1000" t="s">
        <v>649</v>
      </c>
      <c r="C48" s="1040">
        <v>25269</v>
      </c>
      <c r="D48" s="1041"/>
    </row>
    <row r="49" spans="2:5" s="8" customFormat="1" ht="27" customHeight="1" x14ac:dyDescent="0.3">
      <c r="B49" s="1000" t="s">
        <v>474</v>
      </c>
      <c r="C49" s="1040">
        <v>27758</v>
      </c>
      <c r="D49" s="1041">
        <v>969</v>
      </c>
    </row>
    <row r="50" spans="2:5" s="8" customFormat="1" ht="27" customHeight="1" x14ac:dyDescent="0.3">
      <c r="B50" s="1000" t="s">
        <v>650</v>
      </c>
      <c r="C50" s="1040">
        <v>6959</v>
      </c>
      <c r="D50" s="1041"/>
    </row>
    <row r="51" spans="2:5" s="8" customFormat="1" ht="41.25" customHeight="1" x14ac:dyDescent="0.3">
      <c r="B51" s="1005" t="s">
        <v>445</v>
      </c>
      <c r="C51" s="1006">
        <v>52684</v>
      </c>
      <c r="D51" s="1007"/>
      <c r="E51" s="658"/>
    </row>
    <row r="52" spans="2:5" s="8" customFormat="1" ht="41.25" customHeight="1" x14ac:dyDescent="0.3">
      <c r="B52" s="1005" t="s">
        <v>451</v>
      </c>
      <c r="C52" s="1006">
        <v>3290</v>
      </c>
      <c r="D52" s="1007">
        <v>1848</v>
      </c>
      <c r="E52" s="658"/>
    </row>
    <row r="53" spans="2:5" s="8" customFormat="1" ht="27" customHeight="1" x14ac:dyDescent="0.3">
      <c r="B53" s="1000" t="s">
        <v>446</v>
      </c>
      <c r="C53" s="1009">
        <v>3988</v>
      </c>
      <c r="D53" s="1038">
        <v>3988</v>
      </c>
    </row>
    <row r="54" spans="2:5" s="8" customFormat="1" ht="27" customHeight="1" x14ac:dyDescent="0.3">
      <c r="B54" s="1000" t="s">
        <v>452</v>
      </c>
      <c r="C54" s="1009">
        <v>31955</v>
      </c>
      <c r="D54" s="1038">
        <v>31211</v>
      </c>
    </row>
    <row r="55" spans="2:5" s="8" customFormat="1" ht="27" customHeight="1" x14ac:dyDescent="0.3">
      <c r="B55" s="1000" t="s">
        <v>469</v>
      </c>
      <c r="C55" s="1009">
        <v>11960</v>
      </c>
      <c r="D55" s="1038">
        <v>11960</v>
      </c>
    </row>
    <row r="56" spans="2:5" s="8" customFormat="1" ht="27" customHeight="1" x14ac:dyDescent="0.3">
      <c r="B56" s="1000" t="s">
        <v>470</v>
      </c>
      <c r="C56" s="1009">
        <v>6960</v>
      </c>
      <c r="D56" s="1038">
        <v>6810</v>
      </c>
    </row>
    <row r="57" spans="2:5" s="8" customFormat="1" ht="27" customHeight="1" x14ac:dyDescent="0.3">
      <c r="B57" s="1000" t="s">
        <v>488</v>
      </c>
      <c r="C57" s="1040">
        <v>146798</v>
      </c>
      <c r="D57" s="1041">
        <v>988</v>
      </c>
    </row>
    <row r="58" spans="2:5" s="8" customFormat="1" ht="27" customHeight="1" x14ac:dyDescent="0.3">
      <c r="B58" s="1000" t="s">
        <v>383</v>
      </c>
      <c r="C58" s="1009">
        <v>62040</v>
      </c>
      <c r="D58" s="1038">
        <v>38550</v>
      </c>
    </row>
    <row r="59" spans="2:5" s="8" customFormat="1" ht="27" customHeight="1" x14ac:dyDescent="0.3">
      <c r="B59" s="1000" t="s">
        <v>298</v>
      </c>
      <c r="C59" s="1009">
        <v>256</v>
      </c>
      <c r="D59" s="1039">
        <v>256</v>
      </c>
    </row>
    <row r="60" spans="2:5" s="8" customFormat="1" ht="27" customHeight="1" x14ac:dyDescent="0.3">
      <c r="B60" s="1000" t="s">
        <v>273</v>
      </c>
      <c r="C60" s="1009">
        <v>38676</v>
      </c>
      <c r="D60" s="1039">
        <v>36578</v>
      </c>
    </row>
    <row r="61" spans="2:5" s="8" customFormat="1" ht="27" customHeight="1" x14ac:dyDescent="0.3">
      <c r="B61" s="1000" t="s">
        <v>297</v>
      </c>
      <c r="C61" s="1009">
        <v>160</v>
      </c>
      <c r="D61" s="1039">
        <v>160</v>
      </c>
    </row>
    <row r="62" spans="2:5" s="8" customFormat="1" ht="41.25" customHeight="1" x14ac:dyDescent="0.3">
      <c r="B62" s="1005" t="s">
        <v>326</v>
      </c>
      <c r="C62" s="1006">
        <v>200621</v>
      </c>
      <c r="D62" s="1007">
        <v>200621</v>
      </c>
      <c r="E62" s="658"/>
    </row>
    <row r="63" spans="2:5" s="8" customFormat="1" ht="41.25" customHeight="1" x14ac:dyDescent="0.3">
      <c r="B63" s="1005" t="s">
        <v>327</v>
      </c>
      <c r="C63" s="1006">
        <v>1622</v>
      </c>
      <c r="D63" s="1007">
        <v>1622</v>
      </c>
      <c r="E63" s="658"/>
    </row>
    <row r="64" spans="2:5" s="8" customFormat="1" ht="27" customHeight="1" x14ac:dyDescent="0.3">
      <c r="B64" s="1000" t="s">
        <v>417</v>
      </c>
      <c r="C64" s="1009">
        <v>513415</v>
      </c>
      <c r="D64" s="1039">
        <v>288843</v>
      </c>
    </row>
    <row r="65" spans="2:5" s="8" customFormat="1" ht="27" customHeight="1" x14ac:dyDescent="0.3">
      <c r="B65" s="1000" t="s">
        <v>457</v>
      </c>
      <c r="C65" s="1009">
        <v>126015</v>
      </c>
      <c r="D65" s="1039"/>
    </row>
    <row r="66" spans="2:5" s="8" customFormat="1" ht="27" customHeight="1" x14ac:dyDescent="0.3">
      <c r="B66" s="1000" t="s">
        <v>416</v>
      </c>
      <c r="C66" s="1009">
        <v>17164</v>
      </c>
      <c r="D66" s="1039">
        <v>953</v>
      </c>
    </row>
    <row r="67" spans="2:5" s="8" customFormat="1" ht="27" customHeight="1" x14ac:dyDescent="0.3">
      <c r="B67" s="1000" t="s">
        <v>458</v>
      </c>
      <c r="C67" s="1009">
        <v>162</v>
      </c>
      <c r="D67" s="1039"/>
    </row>
    <row r="68" spans="2:5" s="8" customFormat="1" ht="27" customHeight="1" x14ac:dyDescent="0.3">
      <c r="B68" s="1000" t="s">
        <v>453</v>
      </c>
      <c r="C68" s="1009">
        <v>103926</v>
      </c>
      <c r="D68" s="1039">
        <v>99950</v>
      </c>
    </row>
    <row r="69" spans="2:5" s="8" customFormat="1" ht="41.25" customHeight="1" x14ac:dyDescent="0.3">
      <c r="B69" s="1005" t="s">
        <v>512</v>
      </c>
      <c r="C69" s="1006">
        <v>25577</v>
      </c>
      <c r="D69" s="1007"/>
      <c r="E69" s="658"/>
    </row>
    <row r="70" spans="2:5" s="8" customFormat="1" ht="38.25" customHeight="1" x14ac:dyDescent="0.3">
      <c r="B70" s="1000" t="s">
        <v>454</v>
      </c>
      <c r="C70" s="1009">
        <v>16926</v>
      </c>
      <c r="D70" s="1039">
        <v>8564</v>
      </c>
    </row>
    <row r="71" spans="2:5" s="8" customFormat="1" ht="41.25" customHeight="1" x14ac:dyDescent="0.3">
      <c r="B71" s="1005" t="s">
        <v>597</v>
      </c>
      <c r="C71" s="1006">
        <v>103872</v>
      </c>
      <c r="D71" s="1007">
        <v>103872</v>
      </c>
      <c r="E71" s="658"/>
    </row>
    <row r="72" spans="2:5" s="8" customFormat="1" ht="41.25" customHeight="1" x14ac:dyDescent="0.3">
      <c r="B72" s="1005" t="s">
        <v>455</v>
      </c>
      <c r="C72" s="1006">
        <v>166752</v>
      </c>
      <c r="D72" s="1007">
        <v>155332</v>
      </c>
      <c r="E72" s="658"/>
    </row>
    <row r="73" spans="2:5" s="8" customFormat="1" ht="41.25" customHeight="1" x14ac:dyDescent="0.3">
      <c r="B73" s="1005" t="s">
        <v>499</v>
      </c>
      <c r="C73" s="1006">
        <v>39087</v>
      </c>
      <c r="D73" s="1007"/>
      <c r="E73" s="658"/>
    </row>
    <row r="74" spans="2:5" s="8" customFormat="1" ht="41.25" customHeight="1" x14ac:dyDescent="0.3">
      <c r="B74" s="1005" t="s">
        <v>456</v>
      </c>
      <c r="C74" s="1006">
        <v>5396</v>
      </c>
      <c r="D74" s="1007">
        <v>1679</v>
      </c>
      <c r="E74" s="658"/>
    </row>
    <row r="75" spans="2:5" s="8" customFormat="1" ht="41.25" customHeight="1" x14ac:dyDescent="0.3">
      <c r="B75" s="1005" t="s">
        <v>598</v>
      </c>
      <c r="C75" s="1006">
        <v>43955</v>
      </c>
      <c r="D75" s="1007">
        <v>43955</v>
      </c>
      <c r="E75" s="658"/>
    </row>
    <row r="76" spans="2:5" s="8" customFormat="1" ht="27" customHeight="1" x14ac:dyDescent="0.3">
      <c r="B76" s="1000" t="s">
        <v>513</v>
      </c>
      <c r="C76" s="1009">
        <v>524209</v>
      </c>
      <c r="D76" s="1039">
        <v>393546</v>
      </c>
    </row>
    <row r="77" spans="2:5" s="8" customFormat="1" ht="27" customHeight="1" x14ac:dyDescent="0.3">
      <c r="B77" s="1000" t="s">
        <v>514</v>
      </c>
      <c r="C77" s="1009">
        <v>134696</v>
      </c>
      <c r="D77" s="1039"/>
    </row>
    <row r="78" spans="2:5" s="8" customFormat="1" ht="27" customHeight="1" x14ac:dyDescent="0.3">
      <c r="B78" s="1000" t="s">
        <v>558</v>
      </c>
      <c r="C78" s="1009">
        <v>7678</v>
      </c>
      <c r="D78" s="1039">
        <v>7</v>
      </c>
    </row>
    <row r="79" spans="2:5" s="8" customFormat="1" ht="41.25" customHeight="1" thickBot="1" x14ac:dyDescent="0.35">
      <c r="B79" s="1005" t="s">
        <v>596</v>
      </c>
      <c r="C79" s="1006">
        <v>224904</v>
      </c>
      <c r="D79" s="1007">
        <v>224904</v>
      </c>
      <c r="E79" s="658"/>
    </row>
    <row r="80" spans="2:5" ht="25.5" customHeight="1" thickBot="1" x14ac:dyDescent="0.35">
      <c r="B80" s="1042" t="s">
        <v>692</v>
      </c>
      <c r="C80" s="1043">
        <f>SUM(C25:C79)</f>
        <v>3824840</v>
      </c>
      <c r="D80" s="1044">
        <f>SUM(D25:D79)</f>
        <v>1986156</v>
      </c>
    </row>
    <row r="82" spans="1:6" ht="15" x14ac:dyDescent="0.2">
      <c r="E82" s="16"/>
      <c r="F82" s="52"/>
    </row>
    <row r="84" spans="1:6" s="1" customFormat="1" ht="33.75" customHeight="1" x14ac:dyDescent="0.2">
      <c r="A84" s="10"/>
    </row>
    <row r="86" spans="1:6" s="1" customFormat="1" ht="36" customHeight="1" x14ac:dyDescent="0.2">
      <c r="A86" s="10"/>
    </row>
    <row r="87" spans="1:6" s="1" customFormat="1" ht="21.75" customHeight="1" x14ac:dyDescent="0.2">
      <c r="A87" s="10"/>
    </row>
    <row r="88" spans="1:6" s="1" customFormat="1" ht="36" customHeight="1" x14ac:dyDescent="0.2">
      <c r="A88" s="10"/>
    </row>
    <row r="89" spans="1:6" s="1" customFormat="1" ht="39" customHeight="1" x14ac:dyDescent="0.2">
      <c r="A89" s="10"/>
    </row>
    <row r="90" spans="1:6" s="1" customFormat="1" ht="39" customHeight="1" x14ac:dyDescent="0.2">
      <c r="A90" s="10"/>
    </row>
    <row r="91" spans="1:6" s="1" customFormat="1" ht="36" customHeight="1" x14ac:dyDescent="0.2">
      <c r="A91" s="10"/>
    </row>
    <row r="93" spans="1:6" x14ac:dyDescent="0.2">
      <c r="C93" s="579"/>
      <c r="D93" s="579"/>
    </row>
  </sheetData>
  <mergeCells count="3">
    <mergeCell ref="B1:D1"/>
    <mergeCell ref="B2:D2"/>
    <mergeCell ref="B3:D3"/>
  </mergeCells>
  <printOptions horizontalCentered="1" verticalCentered="1"/>
  <pageMargins left="0.35433070866141736" right="0.19685039370078741" top="0.98425196850393704" bottom="0.98425196850393704" header="0.51181102362204722" footer="0.51181102362204722"/>
  <pageSetup paperSize="9" scale="57" pageOrder="overThenDown" orientation="portrait" r:id="rId1"/>
  <headerFooter alignWithMargins="0">
    <oddHeader>&amp;R&amp;"Arial,Félkövér"&amp;11  21. melléklet a 13/2023. (V.26.) önkormányzati rendelethez</oddHeader>
  </headerFooter>
  <rowBreaks count="1" manualBreakCount="1">
    <brk id="46" min="1" max="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20935-DDDE-4ACD-B27A-A6B899C47E42}">
  <dimension ref="B1:H29"/>
  <sheetViews>
    <sheetView zoomScale="75" zoomScaleNormal="75" workbookViewId="0">
      <selection activeCell="C134" sqref="C134"/>
    </sheetView>
  </sheetViews>
  <sheetFormatPr defaultColWidth="10.6640625" defaultRowHeight="15" customHeight="1" x14ac:dyDescent="0.2"/>
  <cols>
    <col min="1" max="1" width="9.33203125" style="8" customWidth="1"/>
    <col min="2" max="2" width="7.6640625" style="8" customWidth="1"/>
    <col min="3" max="3" width="118.33203125" style="8" customWidth="1"/>
    <col min="4" max="5" width="19.1640625" style="8" customWidth="1"/>
    <col min="6" max="6" width="17.6640625" style="8" customWidth="1"/>
    <col min="7" max="8" width="15.6640625" style="8" bestFit="1" customWidth="1"/>
    <col min="9" max="16384" width="10.6640625" style="8"/>
  </cols>
  <sheetData>
    <row r="1" spans="2:8" s="580" customFormat="1" ht="24" customHeight="1" x14ac:dyDescent="0.3">
      <c r="B1" s="2109" t="s">
        <v>665</v>
      </c>
      <c r="C1" s="2109"/>
      <c r="D1" s="2109"/>
      <c r="E1" s="2109"/>
      <c r="F1" s="2109"/>
      <c r="G1" s="2109"/>
      <c r="H1" s="2109"/>
    </row>
    <row r="2" spans="2:8" s="580" customFormat="1" ht="24" customHeight="1" x14ac:dyDescent="0.3">
      <c r="B2" s="2109" t="s">
        <v>1193</v>
      </c>
      <c r="C2" s="2109"/>
      <c r="D2" s="2109"/>
      <c r="E2" s="2109"/>
      <c r="F2" s="2109"/>
      <c r="G2" s="2109"/>
      <c r="H2" s="2109"/>
    </row>
    <row r="3" spans="2:8" s="580" customFormat="1" ht="24" customHeight="1" x14ac:dyDescent="0.3">
      <c r="B3" s="2109" t="s">
        <v>1198</v>
      </c>
      <c r="C3" s="2109"/>
      <c r="D3" s="2109"/>
      <c r="E3" s="2109"/>
      <c r="F3" s="2109"/>
      <c r="G3" s="2109"/>
      <c r="H3" s="2109"/>
    </row>
    <row r="4" spans="2:8" s="581" customFormat="1" ht="18.95" customHeight="1" thickBot="1" x14ac:dyDescent="0.35">
      <c r="B4" s="1045"/>
      <c r="C4" s="1045"/>
      <c r="D4" s="1045"/>
      <c r="E4" s="1045"/>
      <c r="F4" s="1045"/>
      <c r="G4" s="1045"/>
      <c r="H4" s="1046" t="s">
        <v>17</v>
      </c>
    </row>
    <row r="5" spans="2:8" ht="18.95" customHeight="1" x14ac:dyDescent="0.3">
      <c r="B5" s="2110" t="s">
        <v>31</v>
      </c>
      <c r="C5" s="2111"/>
      <c r="D5" s="1047" t="s">
        <v>694</v>
      </c>
      <c r="E5" s="1048" t="s">
        <v>694</v>
      </c>
      <c r="F5" s="1049" t="s">
        <v>695</v>
      </c>
      <c r="G5" s="1048" t="s">
        <v>696</v>
      </c>
      <c r="H5" s="1050" t="s">
        <v>1192</v>
      </c>
    </row>
    <row r="6" spans="2:8" ht="18.95" customHeight="1" thickBot="1" x14ac:dyDescent="0.35">
      <c r="B6" s="1051"/>
      <c r="C6" s="1052"/>
      <c r="D6" s="1053" t="s">
        <v>98</v>
      </c>
      <c r="E6" s="1054" t="s">
        <v>99</v>
      </c>
      <c r="F6" s="1055" t="s">
        <v>202</v>
      </c>
      <c r="G6" s="1054" t="s">
        <v>202</v>
      </c>
      <c r="H6" s="1056" t="s">
        <v>202</v>
      </c>
    </row>
    <row r="7" spans="2:8" ht="24.75" customHeight="1" thickBot="1" x14ac:dyDescent="0.35">
      <c r="B7" s="1057"/>
      <c r="C7" s="1058" t="s">
        <v>34</v>
      </c>
      <c r="D7" s="1059">
        <v>0</v>
      </c>
      <c r="E7" s="1060">
        <v>0</v>
      </c>
      <c r="F7" s="1061">
        <v>0</v>
      </c>
      <c r="G7" s="1061">
        <v>0</v>
      </c>
      <c r="H7" s="1062">
        <v>0</v>
      </c>
    </row>
    <row r="8" spans="2:8" ht="24.75" customHeight="1" x14ac:dyDescent="0.3">
      <c r="B8" s="1063"/>
      <c r="C8" s="1064" t="s">
        <v>185</v>
      </c>
      <c r="D8" s="1065"/>
      <c r="E8" s="1066"/>
      <c r="F8" s="1067"/>
      <c r="G8" s="1068"/>
      <c r="H8" s="1069"/>
    </row>
    <row r="9" spans="2:8" ht="24.75" customHeight="1" x14ac:dyDescent="0.3">
      <c r="B9" s="1070"/>
      <c r="C9" s="1071" t="s">
        <v>697</v>
      </c>
      <c r="D9" s="1072">
        <v>9447</v>
      </c>
      <c r="E9" s="1068">
        <v>8689</v>
      </c>
      <c r="F9" s="1073">
        <v>0</v>
      </c>
      <c r="G9" s="1068">
        <v>10000</v>
      </c>
      <c r="H9" s="1069">
        <v>10000</v>
      </c>
    </row>
    <row r="10" spans="2:8" ht="24.75" customHeight="1" thickBot="1" x14ac:dyDescent="0.35">
      <c r="B10" s="1074"/>
      <c r="C10" s="1075"/>
      <c r="D10" s="1076">
        <f>SUM(D9)</f>
        <v>9447</v>
      </c>
      <c r="E10" s="1077">
        <f>SUM(E9)</f>
        <v>8689</v>
      </c>
      <c r="F10" s="1078">
        <f>SUM(F9)</f>
        <v>0</v>
      </c>
      <c r="G10" s="1077">
        <f>SUM(G9)</f>
        <v>10000</v>
      </c>
      <c r="H10" s="1079">
        <f>SUM(H9)</f>
        <v>10000</v>
      </c>
    </row>
    <row r="11" spans="2:8" ht="24.75" customHeight="1" x14ac:dyDescent="0.3">
      <c r="B11" s="1080"/>
      <c r="C11" s="1081" t="s">
        <v>190</v>
      </c>
      <c r="D11" s="1082"/>
      <c r="E11" s="1083"/>
      <c r="F11" s="1083"/>
      <c r="G11" s="1084"/>
      <c r="H11" s="1085"/>
    </row>
    <row r="12" spans="2:8" ht="24.75" customHeight="1" x14ac:dyDescent="0.3">
      <c r="B12" s="1086"/>
      <c r="C12" s="1071" t="s">
        <v>698</v>
      </c>
      <c r="D12" s="1087">
        <v>101921</v>
      </c>
      <c r="E12" s="1088">
        <v>51239</v>
      </c>
      <c r="F12" s="1089">
        <v>5000</v>
      </c>
      <c r="G12" s="1088">
        <v>25000</v>
      </c>
      <c r="H12" s="1090">
        <v>25000</v>
      </c>
    </row>
    <row r="13" spans="2:8" ht="24.75" customHeight="1" thickBot="1" x14ac:dyDescent="0.35">
      <c r="B13" s="1091"/>
      <c r="C13" s="1092" t="s">
        <v>699</v>
      </c>
      <c r="D13" s="1093">
        <f>SUM(D12:D12)</f>
        <v>101921</v>
      </c>
      <c r="E13" s="1094">
        <f>SUM(E12:E12)</f>
        <v>51239</v>
      </c>
      <c r="F13" s="1095">
        <f>SUM(F12:F12)</f>
        <v>5000</v>
      </c>
      <c r="G13" s="1094">
        <f>SUM(G12:G12)</f>
        <v>25000</v>
      </c>
      <c r="H13" s="1096">
        <f>SUM(H12:H12)</f>
        <v>25000</v>
      </c>
    </row>
    <row r="14" spans="2:8" ht="24.75" customHeight="1" x14ac:dyDescent="0.3">
      <c r="B14" s="1080"/>
      <c r="C14" s="1081" t="s">
        <v>36</v>
      </c>
      <c r="D14" s="1082"/>
      <c r="E14" s="1083"/>
      <c r="F14" s="1083"/>
      <c r="G14" s="1084"/>
      <c r="H14" s="1085"/>
    </row>
    <row r="15" spans="2:8" ht="24.75" customHeight="1" x14ac:dyDescent="0.3">
      <c r="B15" s="1086"/>
      <c r="C15" s="1097" t="s">
        <v>700</v>
      </c>
      <c r="D15" s="1087">
        <v>162177</v>
      </c>
      <c r="E15" s="1088">
        <v>18667</v>
      </c>
      <c r="F15" s="1089">
        <v>40000</v>
      </c>
      <c r="G15" s="1088">
        <v>60000</v>
      </c>
      <c r="H15" s="1090">
        <v>60000</v>
      </c>
    </row>
    <row r="16" spans="2:8" ht="24.75" customHeight="1" thickBot="1" x14ac:dyDescent="0.35">
      <c r="B16" s="1091"/>
      <c r="C16" s="1092"/>
      <c r="D16" s="1093">
        <f>SUM(D15)</f>
        <v>162177</v>
      </c>
      <c r="E16" s="1094">
        <f>SUM(E15)</f>
        <v>18667</v>
      </c>
      <c r="F16" s="1094">
        <f>SUM(F15)</f>
        <v>40000</v>
      </c>
      <c r="G16" s="1094">
        <f>SUM(G15)</f>
        <v>60000</v>
      </c>
      <c r="H16" s="1098">
        <f>SUM(H15)</f>
        <v>60000</v>
      </c>
    </row>
    <row r="17" spans="2:8" ht="24.75" customHeight="1" x14ac:dyDescent="0.3">
      <c r="B17" s="1080"/>
      <c r="C17" s="1099" t="s">
        <v>58</v>
      </c>
      <c r="D17" s="1065"/>
      <c r="E17" s="1067"/>
      <c r="F17" s="1100"/>
      <c r="G17" s="1073"/>
      <c r="H17" s="1101"/>
    </row>
    <row r="18" spans="2:8" ht="24.75" customHeight="1" x14ac:dyDescent="0.3">
      <c r="B18" s="1070"/>
      <c r="C18" s="1102" t="s">
        <v>58</v>
      </c>
      <c r="D18" s="1103">
        <v>15037</v>
      </c>
      <c r="E18" s="1104">
        <v>9821</v>
      </c>
      <c r="F18" s="1105">
        <v>10000</v>
      </c>
      <c r="G18" s="1104">
        <v>10000</v>
      </c>
      <c r="H18" s="1106">
        <v>10000</v>
      </c>
    </row>
    <row r="19" spans="2:8" ht="24.75" customHeight="1" thickBot="1" x14ac:dyDescent="0.35">
      <c r="B19" s="1091"/>
      <c r="C19" s="1107"/>
      <c r="D19" s="1093">
        <f>SUM(D18)</f>
        <v>15037</v>
      </c>
      <c r="E19" s="1094">
        <f>SUM(E18)</f>
        <v>9821</v>
      </c>
      <c r="F19" s="1095">
        <f>SUM(F18)</f>
        <v>10000</v>
      </c>
      <c r="G19" s="1094">
        <f>SUM(G18)</f>
        <v>10000</v>
      </c>
      <c r="H19" s="1096">
        <f>SUM(H18)</f>
        <v>10000</v>
      </c>
    </row>
    <row r="20" spans="2:8" ht="24.75" customHeight="1" thickBot="1" x14ac:dyDescent="0.35">
      <c r="B20" s="1108"/>
      <c r="C20" s="1058" t="s">
        <v>701</v>
      </c>
      <c r="D20" s="1109">
        <f>+D7+D10+D13+D19+D16</f>
        <v>288582</v>
      </c>
      <c r="E20" s="1109">
        <f t="shared" ref="E20:H20" si="0">+E7+E10+E13+E19+E16</f>
        <v>88416</v>
      </c>
      <c r="F20" s="1109">
        <f t="shared" si="0"/>
        <v>55000</v>
      </c>
      <c r="G20" s="1109">
        <f t="shared" si="0"/>
        <v>105000</v>
      </c>
      <c r="H20" s="1110">
        <f t="shared" si="0"/>
        <v>105000</v>
      </c>
    </row>
    <row r="21" spans="2:8" ht="24.75" customHeight="1" x14ac:dyDescent="0.3">
      <c r="B21" s="1111"/>
      <c r="C21" s="1064"/>
      <c r="D21" s="1112"/>
      <c r="E21" s="1112"/>
      <c r="F21" s="1112"/>
      <c r="G21" s="1112"/>
      <c r="H21" s="1112"/>
    </row>
    <row r="22" spans="2:8" ht="21.75" customHeight="1" x14ac:dyDescent="0.3">
      <c r="B22" s="1113"/>
      <c r="C22" s="1114" t="s">
        <v>702</v>
      </c>
      <c r="D22" s="1113"/>
      <c r="E22" s="1113"/>
      <c r="F22" s="1113"/>
      <c r="G22" s="1113"/>
      <c r="H22" s="1113"/>
    </row>
    <row r="23" spans="2:8" s="582" customFormat="1" ht="18.95" customHeight="1" x14ac:dyDescent="0.3">
      <c r="B23" s="1113"/>
      <c r="C23" s="1115" t="s">
        <v>703</v>
      </c>
      <c r="D23" s="1113"/>
      <c r="E23" s="1113"/>
      <c r="F23" s="1113"/>
      <c r="G23" s="1113"/>
      <c r="H23" s="1113"/>
    </row>
    <row r="24" spans="2:8" s="582" customFormat="1" ht="18.95" customHeight="1" x14ac:dyDescent="0.3">
      <c r="B24" s="1113"/>
      <c r="C24" s="1115" t="s">
        <v>1273</v>
      </c>
      <c r="D24" s="1113"/>
      <c r="E24" s="1113"/>
      <c r="F24" s="1113"/>
      <c r="G24" s="1113"/>
      <c r="H24" s="1113"/>
    </row>
    <row r="25" spans="2:8" s="582" customFormat="1" ht="18.95" customHeight="1" x14ac:dyDescent="0.3">
      <c r="B25" s="1113"/>
      <c r="C25" s="1113" t="s">
        <v>704</v>
      </c>
      <c r="D25" s="1113"/>
      <c r="E25" s="1113"/>
      <c r="F25" s="1113"/>
      <c r="G25" s="1113"/>
      <c r="H25" s="1113"/>
    </row>
    <row r="26" spans="2:8" ht="18.95" customHeight="1" x14ac:dyDescent="0.2"/>
    <row r="27" spans="2:8" ht="18.95" customHeight="1" x14ac:dyDescent="0.2"/>
    <row r="28" spans="2:8" ht="18.95" customHeight="1" x14ac:dyDescent="0.2"/>
    <row r="29" spans="2:8" ht="18.95" customHeight="1" x14ac:dyDescent="0.2"/>
  </sheetData>
  <mergeCells count="4">
    <mergeCell ref="B1:H1"/>
    <mergeCell ref="B2:H2"/>
    <mergeCell ref="B3:H3"/>
    <mergeCell ref="B5:C5"/>
  </mergeCells>
  <printOptions horizontalCentered="1" verticalCentered="1"/>
  <pageMargins left="0.19685039370078741" right="0.19685039370078741" top="0.19685039370078741" bottom="0.19685039370078741" header="0.51181102362204722" footer="0.39370078740157483"/>
  <pageSetup paperSize="9" scale="60" orientation="portrait" r:id="rId1"/>
  <headerFooter alignWithMargins="0">
    <oddHeader xml:space="preserve">&amp;C
&amp;R&amp;"Arial CE,Normál"&amp;18 &amp;"-,Félkövér"&amp;11 22. melléklet a 13/2023. (V.26.) önkormányzati rendelethez
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E0521-BB64-461F-A5CE-D1FDFCD24B46}">
  <dimension ref="B4:H139"/>
  <sheetViews>
    <sheetView zoomScale="85" zoomScaleNormal="85" zoomScaleSheetLayoutView="80" workbookViewId="0">
      <selection activeCell="C134" sqref="C134"/>
    </sheetView>
  </sheetViews>
  <sheetFormatPr defaultColWidth="10.6640625" defaultRowHeight="12.75" x14ac:dyDescent="0.2"/>
  <cols>
    <col min="1" max="1" width="4.6640625" style="583" customWidth="1"/>
    <col min="2" max="2" width="11.6640625" style="585" customWidth="1"/>
    <col min="3" max="3" width="10.6640625" style="583" customWidth="1"/>
    <col min="4" max="4" width="57.33203125" style="583" customWidth="1"/>
    <col min="5" max="5" width="27.33203125" style="583" customWidth="1"/>
    <col min="6" max="7" width="30.6640625" style="583" customWidth="1"/>
    <col min="8" max="8" width="15.6640625" style="583" bestFit="1" customWidth="1"/>
    <col min="9" max="9" width="12.33203125" style="583" bestFit="1" customWidth="1"/>
    <col min="10" max="16384" width="10.6640625" style="583"/>
  </cols>
  <sheetData>
    <row r="4" spans="2:7" ht="17.25" customHeight="1" x14ac:dyDescent="0.3">
      <c r="B4" s="1973" t="s">
        <v>1190</v>
      </c>
      <c r="C4" s="1973"/>
      <c r="D4" s="1973"/>
      <c r="E4" s="1973"/>
      <c r="F4" s="1973"/>
      <c r="G4" s="1973"/>
    </row>
    <row r="5" spans="2:7" s="584" customFormat="1" ht="18.75" x14ac:dyDescent="0.3">
      <c r="B5" s="2119" t="s">
        <v>705</v>
      </c>
      <c r="C5" s="2119"/>
      <c r="D5" s="2119"/>
      <c r="E5" s="2119"/>
      <c r="F5" s="2120"/>
      <c r="G5" s="2120"/>
    </row>
    <row r="6" spans="2:7" s="584" customFormat="1" ht="19.5" thickBot="1" x14ac:dyDescent="0.35">
      <c r="B6" s="1116"/>
      <c r="C6" s="1116"/>
      <c r="D6" s="1116"/>
      <c r="E6" s="1116"/>
      <c r="F6" s="1046"/>
      <c r="G6" s="1046" t="s">
        <v>17</v>
      </c>
    </row>
    <row r="7" spans="2:7" s="584" customFormat="1" ht="20.25" customHeight="1" x14ac:dyDescent="0.3">
      <c r="B7" s="1506"/>
      <c r="C7" s="2121" t="s">
        <v>31</v>
      </c>
      <c r="D7" s="2122"/>
      <c r="E7" s="1118"/>
      <c r="F7" s="1119" t="s">
        <v>706</v>
      </c>
      <c r="G7" s="1119" t="s">
        <v>1188</v>
      </c>
    </row>
    <row r="8" spans="2:7" s="584" customFormat="1" ht="16.5" customHeight="1" x14ac:dyDescent="0.3">
      <c r="B8" s="1507"/>
      <c r="C8" s="1120"/>
      <c r="D8" s="1121"/>
      <c r="E8" s="1122"/>
      <c r="F8" s="1123" t="s">
        <v>707</v>
      </c>
      <c r="G8" s="1123" t="s">
        <v>707</v>
      </c>
    </row>
    <row r="9" spans="2:7" s="584" customFormat="1" ht="16.5" customHeight="1" thickBot="1" x14ac:dyDescent="0.35">
      <c r="B9" s="1508"/>
      <c r="C9" s="1124"/>
      <c r="D9" s="1125"/>
      <c r="E9" s="1126"/>
      <c r="F9" s="1127" t="s">
        <v>708</v>
      </c>
      <c r="G9" s="1127" t="s">
        <v>1189</v>
      </c>
    </row>
    <row r="10" spans="2:7" s="584" customFormat="1" ht="16.5" customHeight="1" x14ac:dyDescent="0.3">
      <c r="B10" s="1507"/>
      <c r="C10" s="1120"/>
      <c r="D10" s="1121"/>
      <c r="E10" s="1122"/>
      <c r="F10" s="1128"/>
      <c r="G10" s="1128"/>
    </row>
    <row r="11" spans="2:7" s="584" customFormat="1" ht="14.25" customHeight="1" x14ac:dyDescent="0.3">
      <c r="B11" s="1509"/>
      <c r="C11" s="1130" t="s">
        <v>709</v>
      </c>
      <c r="D11" s="1131"/>
      <c r="E11" s="1132" t="s">
        <v>710</v>
      </c>
      <c r="F11" s="1133">
        <v>16751</v>
      </c>
      <c r="G11" s="1133">
        <v>21212</v>
      </c>
    </row>
    <row r="12" spans="2:7" s="584" customFormat="1" ht="18.75" x14ac:dyDescent="0.3">
      <c r="B12" s="1509"/>
      <c r="C12" s="1130"/>
      <c r="D12" s="1131"/>
      <c r="E12" s="1132" t="s">
        <v>711</v>
      </c>
      <c r="F12" s="1133">
        <v>349</v>
      </c>
      <c r="G12" s="1133">
        <v>19157</v>
      </c>
    </row>
    <row r="13" spans="2:7" s="584" customFormat="1" ht="16.5" customHeight="1" x14ac:dyDescent="0.3">
      <c r="B13" s="1510" t="s">
        <v>712</v>
      </c>
      <c r="C13" s="1135" t="s">
        <v>709</v>
      </c>
      <c r="D13" s="1136"/>
      <c r="E13" s="1137" t="s">
        <v>713</v>
      </c>
      <c r="F13" s="1138">
        <f>SUM(F11:F12)</f>
        <v>17100</v>
      </c>
      <c r="G13" s="1138">
        <f>SUM(G11:G12)</f>
        <v>40369</v>
      </c>
    </row>
    <row r="14" spans="2:7" s="584" customFormat="1" ht="15.6" customHeight="1" x14ac:dyDescent="0.3">
      <c r="B14" s="1511"/>
      <c r="C14" s="1140"/>
      <c r="D14" s="1141"/>
      <c r="E14" s="1122"/>
      <c r="F14" s="1142"/>
      <c r="G14" s="1142"/>
    </row>
    <row r="15" spans="2:7" s="584" customFormat="1" ht="15" customHeight="1" x14ac:dyDescent="0.3">
      <c r="B15" s="1509"/>
      <c r="C15" s="1130" t="s">
        <v>714</v>
      </c>
      <c r="D15" s="1131"/>
      <c r="E15" s="1132" t="s">
        <v>710</v>
      </c>
      <c r="F15" s="1133">
        <v>557</v>
      </c>
      <c r="G15" s="1133">
        <v>5248</v>
      </c>
    </row>
    <row r="16" spans="2:7" s="584" customFormat="1" ht="18.75" x14ac:dyDescent="0.3">
      <c r="B16" s="1509"/>
      <c r="C16" s="1130"/>
      <c r="D16" s="1131"/>
      <c r="E16" s="1132" t="s">
        <v>711</v>
      </c>
      <c r="F16" s="1133">
        <v>448</v>
      </c>
      <c r="G16" s="1133">
        <v>107</v>
      </c>
    </row>
    <row r="17" spans="2:7" s="584" customFormat="1" ht="16.5" customHeight="1" x14ac:dyDescent="0.3">
      <c r="B17" s="1510" t="s">
        <v>715</v>
      </c>
      <c r="C17" s="1135" t="s">
        <v>714</v>
      </c>
      <c r="D17" s="1136"/>
      <c r="E17" s="1137" t="s">
        <v>713</v>
      </c>
      <c r="F17" s="1138">
        <f>SUM(F15:F16)</f>
        <v>1005</v>
      </c>
      <c r="G17" s="1138">
        <f>SUM(G15:G16)</f>
        <v>5355</v>
      </c>
    </row>
    <row r="18" spans="2:7" s="584" customFormat="1" ht="15.6" customHeight="1" x14ac:dyDescent="0.3">
      <c r="B18" s="1511"/>
      <c r="C18" s="1140"/>
      <c r="D18" s="1141"/>
      <c r="E18" s="1122"/>
      <c r="F18" s="1142"/>
      <c r="G18" s="1142"/>
    </row>
    <row r="19" spans="2:7" s="584" customFormat="1" ht="18.75" x14ac:dyDescent="0.3">
      <c r="B19" s="1509"/>
      <c r="C19" s="1130" t="s">
        <v>716</v>
      </c>
      <c r="D19" s="1131"/>
      <c r="E19" s="1132" t="s">
        <v>710</v>
      </c>
      <c r="F19" s="1133">
        <f>+F11+F15</f>
        <v>17308</v>
      </c>
      <c r="G19" s="1133">
        <f>+G11+G15</f>
        <v>26460</v>
      </c>
    </row>
    <row r="20" spans="2:7" s="584" customFormat="1" ht="18.75" x14ac:dyDescent="0.3">
      <c r="B20" s="1509"/>
      <c r="C20" s="1130"/>
      <c r="D20" s="1131"/>
      <c r="E20" s="1132" t="s">
        <v>711</v>
      </c>
      <c r="F20" s="1133">
        <f>+F12+F16</f>
        <v>797</v>
      </c>
      <c r="G20" s="1133">
        <f>+G12+G16</f>
        <v>19264</v>
      </c>
    </row>
    <row r="21" spans="2:7" s="584" customFormat="1" ht="16.5" customHeight="1" thickBot="1" x14ac:dyDescent="0.35">
      <c r="B21" s="1512" t="s">
        <v>717</v>
      </c>
      <c r="C21" s="1143" t="s">
        <v>718</v>
      </c>
      <c r="D21" s="1144"/>
      <c r="E21" s="1145" t="s">
        <v>713</v>
      </c>
      <c r="F21" s="1146">
        <f>SUM(F19:F20)</f>
        <v>18105</v>
      </c>
      <c r="G21" s="1146">
        <f>SUM(G19:G20)</f>
        <v>45724</v>
      </c>
    </row>
    <row r="22" spans="2:7" s="584" customFormat="1" ht="15.6" customHeight="1" x14ac:dyDescent="0.3">
      <c r="B22" s="1511"/>
      <c r="C22" s="1140"/>
      <c r="D22" s="1141"/>
      <c r="E22" s="1140"/>
      <c r="F22" s="1147"/>
      <c r="G22" s="1147"/>
    </row>
    <row r="23" spans="2:7" s="584" customFormat="1" ht="14.25" customHeight="1" x14ac:dyDescent="0.3">
      <c r="B23" s="1509"/>
      <c r="C23" s="1130" t="s">
        <v>719</v>
      </c>
      <c r="D23" s="1131"/>
      <c r="E23" s="1130" t="s">
        <v>710</v>
      </c>
      <c r="F23" s="1148">
        <v>5632473</v>
      </c>
      <c r="G23" s="1148">
        <v>5250388</v>
      </c>
    </row>
    <row r="24" spans="2:7" s="584" customFormat="1" ht="18.75" x14ac:dyDescent="0.3">
      <c r="B24" s="1509"/>
      <c r="C24" s="1130"/>
      <c r="D24" s="1131"/>
      <c r="E24" s="1130" t="s">
        <v>711</v>
      </c>
      <c r="F24" s="1148">
        <v>70360207</v>
      </c>
      <c r="G24" s="1148">
        <v>81687508</v>
      </c>
    </row>
    <row r="25" spans="2:7" s="584" customFormat="1" ht="16.5" customHeight="1" x14ac:dyDescent="0.3">
      <c r="B25" s="1510" t="s">
        <v>720</v>
      </c>
      <c r="C25" s="1135" t="s">
        <v>721</v>
      </c>
      <c r="D25" s="1136"/>
      <c r="E25" s="1135" t="s">
        <v>713</v>
      </c>
      <c r="F25" s="1149">
        <f>SUM(F23:F24)</f>
        <v>75992680</v>
      </c>
      <c r="G25" s="1149">
        <f>SUM(G23:G24)</f>
        <v>86937896</v>
      </c>
    </row>
    <row r="26" spans="2:7" s="584" customFormat="1" ht="15.6" customHeight="1" x14ac:dyDescent="0.3">
      <c r="B26" s="1511"/>
      <c r="C26" s="1140"/>
      <c r="D26" s="1141"/>
      <c r="E26" s="1140"/>
      <c r="F26" s="1150"/>
      <c r="G26" s="1150"/>
    </row>
    <row r="27" spans="2:7" s="584" customFormat="1" ht="15" customHeight="1" x14ac:dyDescent="0.3">
      <c r="B27" s="1509"/>
      <c r="C27" s="1130" t="s">
        <v>722</v>
      </c>
      <c r="D27" s="1131"/>
      <c r="E27" s="1130" t="s">
        <v>710</v>
      </c>
      <c r="F27" s="1148">
        <f>435844</f>
        <v>435844</v>
      </c>
      <c r="G27" s="1148">
        <v>399862</v>
      </c>
    </row>
    <row r="28" spans="2:7" s="584" customFormat="1" ht="18.75" x14ac:dyDescent="0.3">
      <c r="B28" s="1509"/>
      <c r="C28" s="1130"/>
      <c r="D28" s="1131"/>
      <c r="E28" s="1130" t="s">
        <v>711</v>
      </c>
      <c r="F28" s="1148">
        <v>1625990</v>
      </c>
      <c r="G28" s="1148">
        <v>2791667</v>
      </c>
    </row>
    <row r="29" spans="2:7" s="584" customFormat="1" ht="17.25" customHeight="1" x14ac:dyDescent="0.3">
      <c r="B29" s="1510" t="s">
        <v>723</v>
      </c>
      <c r="C29" s="1135" t="s">
        <v>722</v>
      </c>
      <c r="D29" s="1136"/>
      <c r="E29" s="1135" t="s">
        <v>713</v>
      </c>
      <c r="F29" s="1149">
        <f>SUM(F27:F28)</f>
        <v>2061834</v>
      </c>
      <c r="G29" s="1149">
        <f>SUM(G27:G28)</f>
        <v>3191529</v>
      </c>
    </row>
    <row r="30" spans="2:7" s="584" customFormat="1" ht="15.6" customHeight="1" x14ac:dyDescent="0.3">
      <c r="B30" s="1511"/>
      <c r="C30" s="1140"/>
      <c r="D30" s="1141"/>
      <c r="E30" s="1140"/>
      <c r="F30" s="1150"/>
      <c r="G30" s="1150"/>
    </row>
    <row r="31" spans="2:7" s="584" customFormat="1" ht="18.75" x14ac:dyDescent="0.3">
      <c r="B31" s="1509"/>
      <c r="C31" s="1130" t="s">
        <v>724</v>
      </c>
      <c r="D31" s="1131"/>
      <c r="E31" s="1130" t="s">
        <v>710</v>
      </c>
      <c r="F31" s="1148">
        <v>0</v>
      </c>
      <c r="G31" s="1148">
        <v>0</v>
      </c>
    </row>
    <row r="32" spans="2:7" s="584" customFormat="1" ht="18.75" x14ac:dyDescent="0.3">
      <c r="B32" s="1509"/>
      <c r="C32" s="1130"/>
      <c r="D32" s="1131"/>
      <c r="E32" s="1130" t="s">
        <v>711</v>
      </c>
      <c r="F32" s="1148"/>
      <c r="G32" s="1148"/>
    </row>
    <row r="33" spans="2:8" s="584" customFormat="1" ht="16.5" customHeight="1" x14ac:dyDescent="0.3">
      <c r="B33" s="1510" t="s">
        <v>725</v>
      </c>
      <c r="C33" s="1135" t="s">
        <v>724</v>
      </c>
      <c r="D33" s="1136"/>
      <c r="E33" s="1135" t="s">
        <v>713</v>
      </c>
      <c r="F33" s="1149">
        <f>SUM(F31:F32)</f>
        <v>0</v>
      </c>
      <c r="G33" s="1149">
        <f>SUM(G31:G32)</f>
        <v>0</v>
      </c>
    </row>
    <row r="34" spans="2:8" s="584" customFormat="1" ht="15.6" customHeight="1" x14ac:dyDescent="0.3">
      <c r="B34" s="1511"/>
      <c r="C34" s="1140"/>
      <c r="D34" s="1141"/>
      <c r="E34" s="1140"/>
      <c r="F34" s="1150"/>
      <c r="G34" s="1150"/>
    </row>
    <row r="35" spans="2:8" s="584" customFormat="1" ht="18.75" x14ac:dyDescent="0.3">
      <c r="B35" s="1509"/>
      <c r="C35" s="1130" t="s">
        <v>726</v>
      </c>
      <c r="D35" s="1131"/>
      <c r="E35" s="1130" t="s">
        <v>710</v>
      </c>
      <c r="F35" s="1148">
        <f>+-1+10444</f>
        <v>10443</v>
      </c>
      <c r="G35" s="1148">
        <v>501</v>
      </c>
    </row>
    <row r="36" spans="2:8" s="584" customFormat="1" ht="18.75" x14ac:dyDescent="0.3">
      <c r="B36" s="1509"/>
      <c r="C36" s="1130"/>
      <c r="D36" s="1131"/>
      <c r="E36" s="1130" t="s">
        <v>711</v>
      </c>
      <c r="F36" s="1148">
        <v>1713278</v>
      </c>
      <c r="G36" s="1148">
        <v>2524884</v>
      </c>
    </row>
    <row r="37" spans="2:8" s="584" customFormat="1" ht="16.5" customHeight="1" x14ac:dyDescent="0.3">
      <c r="B37" s="1510" t="s">
        <v>727</v>
      </c>
      <c r="C37" s="1135" t="s">
        <v>190</v>
      </c>
      <c r="D37" s="1136"/>
      <c r="E37" s="1135" t="s">
        <v>713</v>
      </c>
      <c r="F37" s="1149">
        <f>SUM(F35:F36)</f>
        <v>1723721</v>
      </c>
      <c r="G37" s="1149">
        <f>SUM(G35:G36)</f>
        <v>2525385</v>
      </c>
    </row>
    <row r="38" spans="2:8" s="584" customFormat="1" ht="15.6" customHeight="1" x14ac:dyDescent="0.3">
      <c r="B38" s="1511"/>
      <c r="C38" s="1140"/>
      <c r="D38" s="1141"/>
      <c r="E38" s="1140"/>
      <c r="F38" s="1150"/>
      <c r="G38" s="1150"/>
    </row>
    <row r="39" spans="2:8" s="584" customFormat="1" ht="15" customHeight="1" x14ac:dyDescent="0.3">
      <c r="B39" s="1509"/>
      <c r="C39" s="1130" t="s">
        <v>728</v>
      </c>
      <c r="D39" s="1131"/>
      <c r="E39" s="1130" t="s">
        <v>710</v>
      </c>
      <c r="F39" s="1148">
        <v>6078761</v>
      </c>
      <c r="G39" s="1148">
        <f>+G23+G27+G31+G35</f>
        <v>5650751</v>
      </c>
      <c r="H39" s="657"/>
    </row>
    <row r="40" spans="2:8" s="584" customFormat="1" ht="18.75" x14ac:dyDescent="0.3">
      <c r="B40" s="1509"/>
      <c r="C40" s="1130"/>
      <c r="D40" s="1131"/>
      <c r="E40" s="1130" t="s">
        <v>711</v>
      </c>
      <c r="F40" s="1148">
        <v>73699474</v>
      </c>
      <c r="G40" s="1148">
        <f>+G24+G28+G32+G36</f>
        <v>87004059</v>
      </c>
      <c r="H40" s="657"/>
    </row>
    <row r="41" spans="2:8" s="584" customFormat="1" ht="16.5" customHeight="1" thickBot="1" x14ac:dyDescent="0.35">
      <c r="B41" s="1512" t="s">
        <v>729</v>
      </c>
      <c r="C41" s="1143" t="s">
        <v>728</v>
      </c>
      <c r="D41" s="1144"/>
      <c r="E41" s="1143" t="s">
        <v>713</v>
      </c>
      <c r="F41" s="1151">
        <f>SUM(F39:F40)</f>
        <v>79778235</v>
      </c>
      <c r="G41" s="1151">
        <f>SUM(G39:G40)</f>
        <v>92654810</v>
      </c>
      <c r="H41" s="657"/>
    </row>
    <row r="42" spans="2:8" s="584" customFormat="1" ht="15.6" customHeight="1" x14ac:dyDescent="0.3">
      <c r="B42" s="1511"/>
      <c r="C42" s="1140"/>
      <c r="D42" s="1141"/>
      <c r="E42" s="1122"/>
      <c r="F42" s="1152"/>
      <c r="G42" s="1152"/>
    </row>
    <row r="43" spans="2:8" s="584" customFormat="1" ht="15" customHeight="1" x14ac:dyDescent="0.3">
      <c r="B43" s="1509"/>
      <c r="C43" s="1130" t="s">
        <v>730</v>
      </c>
      <c r="D43" s="1131"/>
      <c r="E43" s="1132" t="s">
        <v>710</v>
      </c>
      <c r="F43" s="1133">
        <v>0</v>
      </c>
      <c r="G43" s="1133"/>
    </row>
    <row r="44" spans="2:8" s="584" customFormat="1" ht="18.75" x14ac:dyDescent="0.3">
      <c r="B44" s="1509"/>
      <c r="C44" s="1130"/>
      <c r="D44" s="1131"/>
      <c r="E44" s="1132" t="s">
        <v>711</v>
      </c>
      <c r="F44" s="1133">
        <v>6452277</v>
      </c>
      <c r="G44" s="1133">
        <v>6456011</v>
      </c>
    </row>
    <row r="45" spans="2:8" s="584" customFormat="1" ht="16.5" customHeight="1" x14ac:dyDescent="0.3">
      <c r="B45" s="1510" t="s">
        <v>731</v>
      </c>
      <c r="C45" s="1135" t="s">
        <v>732</v>
      </c>
      <c r="D45" s="1136"/>
      <c r="E45" s="1137" t="s">
        <v>713</v>
      </c>
      <c r="F45" s="1138">
        <f>SUM(F43:F44)</f>
        <v>6452277</v>
      </c>
      <c r="G45" s="1138">
        <f>SUM(G43:G44)</f>
        <v>6456011</v>
      </c>
    </row>
    <row r="46" spans="2:8" s="584" customFormat="1" ht="15.6" customHeight="1" x14ac:dyDescent="0.3">
      <c r="B46" s="1511"/>
      <c r="C46" s="1140"/>
      <c r="D46" s="1141"/>
      <c r="E46" s="1122"/>
      <c r="F46" s="1142"/>
      <c r="G46" s="1142"/>
    </row>
    <row r="47" spans="2:8" s="584" customFormat="1" ht="15.75" customHeight="1" x14ac:dyDescent="0.3">
      <c r="B47" s="1509"/>
      <c r="C47" s="1130" t="s">
        <v>733</v>
      </c>
      <c r="D47" s="1131"/>
      <c r="E47" s="1132" t="s">
        <v>710</v>
      </c>
      <c r="F47" s="1133">
        <v>0</v>
      </c>
      <c r="G47" s="1133"/>
    </row>
    <row r="48" spans="2:8" s="584" customFormat="1" ht="18.75" x14ac:dyDescent="0.3">
      <c r="B48" s="1509"/>
      <c r="C48" s="1130"/>
      <c r="D48" s="1131"/>
      <c r="E48" s="1132" t="s">
        <v>711</v>
      </c>
      <c r="F48" s="1133">
        <v>0</v>
      </c>
      <c r="G48" s="1133"/>
    </row>
    <row r="49" spans="2:7" s="584" customFormat="1" ht="16.5" customHeight="1" x14ac:dyDescent="0.3">
      <c r="B49" s="1510" t="s">
        <v>734</v>
      </c>
      <c r="C49" s="1135" t="s">
        <v>733</v>
      </c>
      <c r="D49" s="1136"/>
      <c r="E49" s="1137" t="s">
        <v>713</v>
      </c>
      <c r="F49" s="1149">
        <f>SUM(F48:F48)</f>
        <v>0</v>
      </c>
      <c r="G49" s="1149">
        <f>SUM(G48:G48)</f>
        <v>0</v>
      </c>
    </row>
    <row r="50" spans="2:7" s="584" customFormat="1" ht="15.6" customHeight="1" x14ac:dyDescent="0.3">
      <c r="B50" s="1511"/>
      <c r="C50" s="1140"/>
      <c r="D50" s="1141"/>
      <c r="E50" s="1122"/>
      <c r="F50" s="1150"/>
      <c r="G50" s="1150"/>
    </row>
    <row r="51" spans="2:7" s="584" customFormat="1" ht="15.75" customHeight="1" x14ac:dyDescent="0.3">
      <c r="B51" s="1509"/>
      <c r="C51" s="1130" t="s">
        <v>735</v>
      </c>
      <c r="D51" s="1131"/>
      <c r="E51" s="1132" t="s">
        <v>710</v>
      </c>
      <c r="F51" s="1148">
        <f>F43+F47</f>
        <v>0</v>
      </c>
      <c r="G51" s="1148">
        <f>G43+G47</f>
        <v>0</v>
      </c>
    </row>
    <row r="52" spans="2:7" s="584" customFormat="1" ht="18.75" x14ac:dyDescent="0.3">
      <c r="B52" s="1509"/>
      <c r="C52" s="1140"/>
      <c r="D52" s="1131"/>
      <c r="E52" s="1132" t="s">
        <v>711</v>
      </c>
      <c r="F52" s="1148">
        <f>F44+F48</f>
        <v>6452277</v>
      </c>
      <c r="G52" s="1148">
        <f>G44+G48</f>
        <v>6456011</v>
      </c>
    </row>
    <row r="53" spans="2:7" s="584" customFormat="1" ht="16.5" customHeight="1" thickBot="1" x14ac:dyDescent="0.35">
      <c r="B53" s="1512" t="s">
        <v>736</v>
      </c>
      <c r="C53" s="1143" t="s">
        <v>735</v>
      </c>
      <c r="D53" s="1144"/>
      <c r="E53" s="1145" t="s">
        <v>713</v>
      </c>
      <c r="F53" s="1151">
        <f>SUM(F51:F52)</f>
        <v>6452277</v>
      </c>
      <c r="G53" s="1151">
        <f>SUM(G51:G52)</f>
        <v>6456011</v>
      </c>
    </row>
    <row r="54" spans="2:7" s="584" customFormat="1" ht="15.6" customHeight="1" x14ac:dyDescent="0.3">
      <c r="B54" s="1511"/>
      <c r="C54" s="1140"/>
      <c r="D54" s="1141"/>
      <c r="E54" s="1122"/>
      <c r="F54" s="1142"/>
      <c r="G54" s="1142"/>
    </row>
    <row r="55" spans="2:7" s="584" customFormat="1" ht="16.5" customHeight="1" x14ac:dyDescent="0.3">
      <c r="B55" s="1509"/>
      <c r="C55" s="1130" t="s">
        <v>737</v>
      </c>
      <c r="D55" s="1131"/>
      <c r="E55" s="1132" t="s">
        <v>710</v>
      </c>
      <c r="F55" s="1133">
        <v>0</v>
      </c>
      <c r="G55" s="1133"/>
    </row>
    <row r="56" spans="2:7" s="584" customFormat="1" ht="18.75" x14ac:dyDescent="0.3">
      <c r="B56" s="1509"/>
      <c r="C56" s="1130"/>
      <c r="D56" s="1131"/>
      <c r="E56" s="1132" t="s">
        <v>711</v>
      </c>
      <c r="F56" s="1133">
        <v>880596</v>
      </c>
      <c r="G56" s="1133">
        <v>876761</v>
      </c>
    </row>
    <row r="57" spans="2:7" s="584" customFormat="1" ht="38.25" customHeight="1" thickBot="1" x14ac:dyDescent="0.35">
      <c r="B57" s="1513" t="s">
        <v>738</v>
      </c>
      <c r="C57" s="2123" t="s">
        <v>739</v>
      </c>
      <c r="D57" s="2124"/>
      <c r="E57" s="1153" t="s">
        <v>713</v>
      </c>
      <c r="F57" s="1154">
        <f>SUM(F55:F56)</f>
        <v>880596</v>
      </c>
      <c r="G57" s="1154">
        <f>SUM(G55:G56)</f>
        <v>876761</v>
      </c>
    </row>
    <row r="58" spans="2:7" s="584" customFormat="1" ht="15.6" customHeight="1" x14ac:dyDescent="0.3">
      <c r="B58" s="1514"/>
      <c r="C58" s="1155"/>
      <c r="D58" s="1156"/>
      <c r="E58" s="1118"/>
      <c r="F58" s="1147"/>
      <c r="G58" s="1147"/>
    </row>
    <row r="59" spans="2:7" s="584" customFormat="1" ht="15" customHeight="1" x14ac:dyDescent="0.3">
      <c r="B59" s="1509"/>
      <c r="C59" s="2112" t="s">
        <v>740</v>
      </c>
      <c r="D59" s="2113"/>
      <c r="E59" s="1132" t="s">
        <v>710</v>
      </c>
      <c r="F59" s="1148">
        <f>+F19+F39+F51+F55</f>
        <v>6096069</v>
      </c>
      <c r="G59" s="1148">
        <f>+G19+G39+G51+G55</f>
        <v>5677211</v>
      </c>
    </row>
    <row r="60" spans="2:7" s="584" customFormat="1" ht="19.5" thickBot="1" x14ac:dyDescent="0.35">
      <c r="B60" s="1515"/>
      <c r="C60" s="1158"/>
      <c r="D60" s="1159"/>
      <c r="E60" s="1160" t="s">
        <v>711</v>
      </c>
      <c r="F60" s="1161">
        <f>+F20+F40+F52+F56</f>
        <v>81033144</v>
      </c>
      <c r="G60" s="1161">
        <f>+G20+G40+G52+G56</f>
        <v>94356095</v>
      </c>
    </row>
    <row r="61" spans="2:7" s="584" customFormat="1" ht="39.75" customHeight="1" thickBot="1" x14ac:dyDescent="0.35">
      <c r="B61" s="1516" t="s">
        <v>741</v>
      </c>
      <c r="C61" s="2125" t="s">
        <v>740</v>
      </c>
      <c r="D61" s="2113"/>
      <c r="E61" s="1164" t="s">
        <v>713</v>
      </c>
      <c r="F61" s="1165">
        <f>SUM(F59:F60)</f>
        <v>87129213</v>
      </c>
      <c r="G61" s="1165">
        <f>SUM(G59:G60)</f>
        <v>100033306</v>
      </c>
    </row>
    <row r="62" spans="2:7" s="584" customFormat="1" ht="16.5" customHeight="1" x14ac:dyDescent="0.3">
      <c r="B62" s="1506"/>
      <c r="C62" s="1117"/>
      <c r="D62" s="1166"/>
      <c r="E62" s="1118"/>
      <c r="F62" s="1119"/>
      <c r="G62" s="1119"/>
    </row>
    <row r="63" spans="2:7" s="584" customFormat="1" ht="15" customHeight="1" x14ac:dyDescent="0.3">
      <c r="B63" s="1509"/>
      <c r="C63" s="1130" t="s">
        <v>742</v>
      </c>
      <c r="D63" s="1131"/>
      <c r="E63" s="1132" t="s">
        <v>710</v>
      </c>
      <c r="F63" s="1148">
        <v>26934</v>
      </c>
      <c r="G63" s="1148">
        <v>30449</v>
      </c>
    </row>
    <row r="64" spans="2:7" s="584" customFormat="1" ht="18.75" x14ac:dyDescent="0.3">
      <c r="B64" s="1167"/>
      <c r="C64" s="1130"/>
      <c r="D64" s="1131"/>
      <c r="E64" s="1132" t="s">
        <v>711</v>
      </c>
      <c r="F64" s="1148">
        <v>0</v>
      </c>
      <c r="G64" s="1148"/>
    </row>
    <row r="65" spans="2:7" s="584" customFormat="1" ht="16.5" customHeight="1" thickBot="1" x14ac:dyDescent="0.35">
      <c r="B65" s="1517" t="s">
        <v>743</v>
      </c>
      <c r="C65" s="1143" t="s">
        <v>742</v>
      </c>
      <c r="D65" s="1144"/>
      <c r="E65" s="1145" t="s">
        <v>713</v>
      </c>
      <c r="F65" s="1151">
        <f>SUM(F63:F64)</f>
        <v>26934</v>
      </c>
      <c r="G65" s="1151">
        <f>SUM(G63:G64)</f>
        <v>30449</v>
      </c>
    </row>
    <row r="66" spans="2:7" s="584" customFormat="1" ht="11.1" customHeight="1" x14ac:dyDescent="0.3">
      <c r="B66" s="1509"/>
      <c r="C66" s="1130"/>
      <c r="D66" s="1131"/>
      <c r="E66" s="1132"/>
      <c r="F66" s="1133"/>
      <c r="G66" s="1133"/>
    </row>
    <row r="67" spans="2:7" s="584" customFormat="1" ht="18.75" x14ac:dyDescent="0.3">
      <c r="B67" s="1509"/>
      <c r="C67" s="1130" t="s">
        <v>744</v>
      </c>
      <c r="D67" s="1131"/>
      <c r="E67" s="1132" t="s">
        <v>710</v>
      </c>
      <c r="F67" s="1133">
        <v>0</v>
      </c>
      <c r="G67" s="1133"/>
    </row>
    <row r="68" spans="2:7" s="584" customFormat="1" ht="18.75" x14ac:dyDescent="0.3">
      <c r="B68" s="1509"/>
      <c r="C68" s="1130"/>
      <c r="D68" s="1131"/>
      <c r="E68" s="1132" t="s">
        <v>711</v>
      </c>
      <c r="F68" s="1133">
        <v>0</v>
      </c>
      <c r="G68" s="1133"/>
    </row>
    <row r="69" spans="2:7" s="584" customFormat="1" ht="16.5" customHeight="1" thickBot="1" x14ac:dyDescent="0.35">
      <c r="B69" s="1512" t="s">
        <v>745</v>
      </c>
      <c r="C69" s="1143" t="s">
        <v>746</v>
      </c>
      <c r="D69" s="1144"/>
      <c r="E69" s="1145" t="s">
        <v>713</v>
      </c>
      <c r="F69" s="1146">
        <f>SUM(F67:F68)</f>
        <v>0</v>
      </c>
      <c r="G69" s="1146">
        <f>SUM(G67:G68)</f>
        <v>0</v>
      </c>
    </row>
    <row r="70" spans="2:7" s="584" customFormat="1" ht="15.6" customHeight="1" x14ac:dyDescent="0.3">
      <c r="B70" s="1511"/>
      <c r="C70" s="1140"/>
      <c r="D70" s="1141"/>
      <c r="E70" s="1122"/>
      <c r="F70" s="1142"/>
      <c r="G70" s="1142"/>
    </row>
    <row r="71" spans="2:7" s="584" customFormat="1" ht="18.75" x14ac:dyDescent="0.3">
      <c r="B71" s="1509"/>
      <c r="C71" s="1130" t="s">
        <v>747</v>
      </c>
      <c r="D71" s="1131"/>
      <c r="E71" s="1132" t="s">
        <v>710</v>
      </c>
      <c r="F71" s="1133">
        <f>+F63+F67</f>
        <v>26934</v>
      </c>
      <c r="G71" s="1133">
        <f>+G63+G67</f>
        <v>30449</v>
      </c>
    </row>
    <row r="72" spans="2:7" s="584" customFormat="1" ht="19.5" thickBot="1" x14ac:dyDescent="0.35">
      <c r="B72" s="1509"/>
      <c r="C72" s="1130" t="s">
        <v>87</v>
      </c>
      <c r="D72" s="1131"/>
      <c r="E72" s="1132" t="s">
        <v>711</v>
      </c>
      <c r="F72" s="1133">
        <f>+F64+F68</f>
        <v>0</v>
      </c>
      <c r="G72" s="1133">
        <f>+G64+G68</f>
        <v>0</v>
      </c>
    </row>
    <row r="73" spans="2:7" s="584" customFormat="1" ht="36.75" customHeight="1" thickBot="1" x14ac:dyDescent="0.35">
      <c r="B73" s="1518" t="s">
        <v>748</v>
      </c>
      <c r="C73" s="2117" t="s">
        <v>749</v>
      </c>
      <c r="D73" s="2118"/>
      <c r="E73" s="1169" t="s">
        <v>713</v>
      </c>
      <c r="F73" s="1170">
        <f>SUM(F71:F72)</f>
        <v>26934</v>
      </c>
      <c r="G73" s="1170">
        <f>SUM(G71:G72)</f>
        <v>30449</v>
      </c>
    </row>
    <row r="74" spans="2:7" s="584" customFormat="1" ht="30" customHeight="1" x14ac:dyDescent="0.3">
      <c r="B74" s="1171"/>
      <c r="C74" s="1172"/>
      <c r="D74" s="1173"/>
      <c r="E74" s="1174"/>
      <c r="F74" s="1175"/>
      <c r="G74" s="1175"/>
    </row>
    <row r="75" spans="2:7" s="584" customFormat="1" ht="30" customHeight="1" thickBot="1" x14ac:dyDescent="0.35">
      <c r="B75" s="1171"/>
      <c r="C75" s="1172"/>
      <c r="D75" s="1173"/>
      <c r="E75" s="1174"/>
      <c r="F75" s="1175"/>
      <c r="G75" s="1175"/>
    </row>
    <row r="76" spans="2:7" s="584" customFormat="1" ht="20.25" customHeight="1" x14ac:dyDescent="0.3">
      <c r="B76" s="1117"/>
      <c r="C76" s="2121" t="s">
        <v>31</v>
      </c>
      <c r="D76" s="2122"/>
      <c r="E76" s="1176"/>
      <c r="F76" s="1119" t="s">
        <v>706</v>
      </c>
      <c r="G76" s="1119" t="s">
        <v>1188</v>
      </c>
    </row>
    <row r="77" spans="2:7" s="584" customFormat="1" ht="16.5" customHeight="1" x14ac:dyDescent="0.3">
      <c r="B77" s="1120"/>
      <c r="C77" s="1120"/>
      <c r="D77" s="1121"/>
      <c r="E77" s="1177"/>
      <c r="F77" s="1123" t="s">
        <v>707</v>
      </c>
      <c r="G77" s="1123" t="s">
        <v>707</v>
      </c>
    </row>
    <row r="78" spans="2:7" s="584" customFormat="1" ht="16.5" customHeight="1" thickBot="1" x14ac:dyDescent="0.35">
      <c r="B78" s="1124"/>
      <c r="C78" s="1124"/>
      <c r="D78" s="1125"/>
      <c r="E78" s="1178"/>
      <c r="F78" s="1127" t="s">
        <v>708</v>
      </c>
      <c r="G78" s="1127" t="s">
        <v>1189</v>
      </c>
    </row>
    <row r="79" spans="2:7" s="584" customFormat="1" ht="15.6" customHeight="1" x14ac:dyDescent="0.3">
      <c r="B79" s="1139"/>
      <c r="C79" s="1140"/>
      <c r="D79" s="1141"/>
      <c r="E79" s="1177"/>
      <c r="F79" s="1142"/>
      <c r="G79" s="1142"/>
    </row>
    <row r="80" spans="2:7" s="584" customFormat="1" ht="18.75" x14ac:dyDescent="0.3">
      <c r="B80" s="1129"/>
      <c r="C80" s="1130" t="s">
        <v>750</v>
      </c>
      <c r="D80" s="1131"/>
      <c r="E80" s="1179" t="s">
        <v>710</v>
      </c>
      <c r="F80" s="1133">
        <v>0</v>
      </c>
      <c r="G80" s="1133"/>
    </row>
    <row r="81" spans="2:7" s="584" customFormat="1" ht="18.75" x14ac:dyDescent="0.3">
      <c r="B81" s="1129"/>
      <c r="C81" s="1130"/>
      <c r="D81" s="1131"/>
      <c r="E81" s="1179" t="s">
        <v>711</v>
      </c>
      <c r="F81" s="1133">
        <v>0</v>
      </c>
      <c r="G81" s="1133"/>
    </row>
    <row r="82" spans="2:7" s="584" customFormat="1" ht="15.6" customHeight="1" x14ac:dyDescent="0.3">
      <c r="B82" s="1134" t="s">
        <v>751</v>
      </c>
      <c r="C82" s="1135" t="s">
        <v>750</v>
      </c>
      <c r="D82" s="1136"/>
      <c r="E82" s="1180" t="s">
        <v>713</v>
      </c>
      <c r="F82" s="1138">
        <f>SUM(F80:F81)</f>
        <v>0</v>
      </c>
      <c r="G82" s="1138">
        <f>SUM(G80:G81)</f>
        <v>0</v>
      </c>
    </row>
    <row r="83" spans="2:7" s="584" customFormat="1" ht="11.1" customHeight="1" x14ac:dyDescent="0.3">
      <c r="B83" s="1129"/>
      <c r="C83" s="1130"/>
      <c r="D83" s="1131"/>
      <c r="E83" s="1179"/>
      <c r="F83" s="1133"/>
      <c r="G83" s="1133"/>
    </row>
    <row r="84" spans="2:7" s="584" customFormat="1" ht="18.75" x14ac:dyDescent="0.3">
      <c r="B84" s="1129"/>
      <c r="C84" s="1130" t="s">
        <v>752</v>
      </c>
      <c r="D84" s="1131"/>
      <c r="E84" s="1179" t="s">
        <v>710</v>
      </c>
      <c r="F84" s="1133">
        <v>788</v>
      </c>
      <c r="G84" s="1133">
        <v>898</v>
      </c>
    </row>
    <row r="85" spans="2:7" s="584" customFormat="1" ht="18.75" x14ac:dyDescent="0.3">
      <c r="B85" s="1129"/>
      <c r="C85" s="1181"/>
      <c r="D85" s="1131"/>
      <c r="E85" s="1179" t="s">
        <v>711</v>
      </c>
      <c r="F85" s="1133">
        <v>13</v>
      </c>
      <c r="G85" s="1133">
        <v>17</v>
      </c>
    </row>
    <row r="86" spans="2:7" s="584" customFormat="1" ht="15.6" customHeight="1" x14ac:dyDescent="0.3">
      <c r="B86" s="1134" t="s">
        <v>753</v>
      </c>
      <c r="C86" s="1135" t="s">
        <v>752</v>
      </c>
      <c r="D86" s="1136"/>
      <c r="E86" s="1180" t="s">
        <v>713</v>
      </c>
      <c r="F86" s="1138">
        <f>SUM(F84:F85)</f>
        <v>801</v>
      </c>
      <c r="G86" s="1138">
        <f>SUM(G84:G85)</f>
        <v>915</v>
      </c>
    </row>
    <row r="87" spans="2:7" s="584" customFormat="1" ht="11.1" customHeight="1" x14ac:dyDescent="0.3">
      <c r="B87" s="1129"/>
      <c r="C87" s="1130"/>
      <c r="D87" s="1131"/>
      <c r="E87" s="1179"/>
      <c r="F87" s="1133"/>
      <c r="G87" s="1133"/>
    </row>
    <row r="88" spans="2:7" s="584" customFormat="1" ht="18.75" x14ac:dyDescent="0.3">
      <c r="B88" s="1129"/>
      <c r="C88" s="1130" t="s">
        <v>754</v>
      </c>
      <c r="D88" s="1131"/>
      <c r="E88" s="1179" t="s">
        <v>710</v>
      </c>
      <c r="F88" s="1133">
        <v>448966</v>
      </c>
      <c r="G88" s="1133">
        <v>394297</v>
      </c>
    </row>
    <row r="89" spans="2:7" s="584" customFormat="1" ht="18.75" x14ac:dyDescent="0.3">
      <c r="B89" s="1129"/>
      <c r="C89" s="1130"/>
      <c r="D89" s="1131"/>
      <c r="E89" s="1179" t="s">
        <v>711</v>
      </c>
      <c r="F89" s="1133">
        <v>9127975</v>
      </c>
      <c r="G89" s="1133">
        <v>7206578</v>
      </c>
    </row>
    <row r="90" spans="2:7" s="584" customFormat="1" ht="15.6" customHeight="1" x14ac:dyDescent="0.3">
      <c r="B90" s="1134" t="s">
        <v>755</v>
      </c>
      <c r="C90" s="1135" t="s">
        <v>754</v>
      </c>
      <c r="D90" s="1136"/>
      <c r="E90" s="1180" t="s">
        <v>713</v>
      </c>
      <c r="F90" s="1138">
        <f>SUM(F88:F89)</f>
        <v>9576941</v>
      </c>
      <c r="G90" s="1138">
        <f>SUM(G88:G89)</f>
        <v>7600875</v>
      </c>
    </row>
    <row r="91" spans="2:7" s="584" customFormat="1" ht="11.1" customHeight="1" x14ac:dyDescent="0.3">
      <c r="B91" s="1129"/>
      <c r="C91" s="1130"/>
      <c r="D91" s="1131"/>
      <c r="E91" s="1179"/>
      <c r="F91" s="1133"/>
      <c r="G91" s="1133"/>
    </row>
    <row r="92" spans="2:7" s="584" customFormat="1" ht="18.75" x14ac:dyDescent="0.3">
      <c r="B92" s="1129"/>
      <c r="C92" s="1130" t="s">
        <v>756</v>
      </c>
      <c r="D92" s="1131"/>
      <c r="E92" s="1179" t="s">
        <v>710</v>
      </c>
      <c r="F92" s="1133">
        <v>0</v>
      </c>
      <c r="G92" s="1133"/>
    </row>
    <row r="93" spans="2:7" s="584" customFormat="1" ht="18.75" x14ac:dyDescent="0.3">
      <c r="B93" s="1129"/>
      <c r="C93" s="1130"/>
      <c r="D93" s="1131"/>
      <c r="E93" s="1179" t="s">
        <v>711</v>
      </c>
      <c r="F93" s="1133">
        <v>38996</v>
      </c>
      <c r="G93" s="1133">
        <v>47636</v>
      </c>
    </row>
    <row r="94" spans="2:7" s="584" customFormat="1" ht="15.6" customHeight="1" x14ac:dyDescent="0.3">
      <c r="B94" s="1134" t="s">
        <v>757</v>
      </c>
      <c r="C94" s="1135" t="s">
        <v>756</v>
      </c>
      <c r="D94" s="1136"/>
      <c r="E94" s="1180" t="s">
        <v>713</v>
      </c>
      <c r="F94" s="1138">
        <f>SUM(F92:F93)</f>
        <v>38996</v>
      </c>
      <c r="G94" s="1138">
        <f>SUM(G92:G93)</f>
        <v>47636</v>
      </c>
    </row>
    <row r="95" spans="2:7" s="584" customFormat="1" ht="11.1" customHeight="1" x14ac:dyDescent="0.3">
      <c r="B95" s="1129"/>
      <c r="C95" s="1130"/>
      <c r="D95" s="1131"/>
      <c r="E95" s="1179"/>
      <c r="F95" s="1133"/>
      <c r="G95" s="1133"/>
    </row>
    <row r="96" spans="2:7" s="584" customFormat="1" ht="11.1" customHeight="1" x14ac:dyDescent="0.3">
      <c r="B96" s="1129"/>
      <c r="C96" s="1130"/>
      <c r="D96" s="1131"/>
      <c r="E96" s="1179"/>
      <c r="F96" s="1133"/>
      <c r="G96" s="1133"/>
    </row>
    <row r="97" spans="2:7" s="584" customFormat="1" ht="18.75" x14ac:dyDescent="0.3">
      <c r="B97" s="1129"/>
      <c r="C97" s="1130" t="s">
        <v>758</v>
      </c>
      <c r="D97" s="1131"/>
      <c r="E97" s="1179" t="s">
        <v>710</v>
      </c>
      <c r="F97" s="1133">
        <f>+F80+F84+F88+F92</f>
        <v>449754</v>
      </c>
      <c r="G97" s="1133">
        <f>+G80+G84+G88+G92</f>
        <v>395195</v>
      </c>
    </row>
    <row r="98" spans="2:7" s="584" customFormat="1" ht="19.5" thickBot="1" x14ac:dyDescent="0.35">
      <c r="B98" s="1129"/>
      <c r="C98" s="1130"/>
      <c r="D98" s="1131"/>
      <c r="E98" s="1179" t="s">
        <v>711</v>
      </c>
      <c r="F98" s="1133">
        <f>F81+F85+F89+F93</f>
        <v>9166984</v>
      </c>
      <c r="G98" s="1133">
        <f>G81+G85+G89+G93</f>
        <v>7254231</v>
      </c>
    </row>
    <row r="99" spans="2:7" s="584" customFormat="1" ht="30" customHeight="1" thickBot="1" x14ac:dyDescent="0.35">
      <c r="B99" s="1168" t="s">
        <v>759</v>
      </c>
      <c r="C99" s="2117" t="s">
        <v>758</v>
      </c>
      <c r="D99" s="2118"/>
      <c r="E99" s="1182" t="s">
        <v>713</v>
      </c>
      <c r="F99" s="1170">
        <f>SUM(F97:F98)</f>
        <v>9616738</v>
      </c>
      <c r="G99" s="1170">
        <f>SUM(G97:G98)</f>
        <v>7649426</v>
      </c>
    </row>
    <row r="100" spans="2:7" s="584" customFormat="1" ht="15.6" customHeight="1" x14ac:dyDescent="0.3">
      <c r="B100" s="1139"/>
      <c r="C100" s="1140"/>
      <c r="D100" s="1141"/>
      <c r="E100" s="1177"/>
      <c r="F100" s="1142"/>
      <c r="G100" s="1142"/>
    </row>
    <row r="101" spans="2:7" s="584" customFormat="1" ht="18.75" x14ac:dyDescent="0.3">
      <c r="B101" s="1129"/>
      <c r="C101" s="1130" t="s">
        <v>760</v>
      </c>
      <c r="D101" s="1131"/>
      <c r="E101" s="1179" t="s">
        <v>710</v>
      </c>
      <c r="F101" s="1133">
        <v>14530</v>
      </c>
      <c r="G101" s="1133">
        <v>28800</v>
      </c>
    </row>
    <row r="102" spans="2:7" s="584" customFormat="1" ht="18.75" x14ac:dyDescent="0.3">
      <c r="B102" s="1129"/>
      <c r="C102" s="1130"/>
      <c r="D102" s="1131"/>
      <c r="E102" s="1179" t="s">
        <v>711</v>
      </c>
      <c r="F102" s="1133">
        <v>1720935</v>
      </c>
      <c r="G102" s="1133">
        <v>2126737</v>
      </c>
    </row>
    <row r="103" spans="2:7" s="584" customFormat="1" ht="15.6" customHeight="1" x14ac:dyDescent="0.3">
      <c r="B103" s="1134" t="s">
        <v>761</v>
      </c>
      <c r="C103" s="1135" t="s">
        <v>760</v>
      </c>
      <c r="D103" s="1136"/>
      <c r="E103" s="1180" t="s">
        <v>713</v>
      </c>
      <c r="F103" s="1138">
        <f>SUM(F101:F102)</f>
        <v>1735465</v>
      </c>
      <c r="G103" s="1138">
        <f>SUM(G101:G102)</f>
        <v>2155537</v>
      </c>
    </row>
    <row r="104" spans="2:7" s="584" customFormat="1" ht="12" customHeight="1" x14ac:dyDescent="0.3">
      <c r="B104" s="1129"/>
      <c r="C104" s="1130"/>
      <c r="D104" s="1131"/>
      <c r="E104" s="1179"/>
      <c r="F104" s="1133"/>
      <c r="G104" s="1133"/>
    </row>
    <row r="105" spans="2:7" s="584" customFormat="1" ht="18.75" x14ac:dyDescent="0.3">
      <c r="B105" s="1129"/>
      <c r="C105" s="1130" t="s">
        <v>762</v>
      </c>
      <c r="D105" s="1131"/>
      <c r="E105" s="1179" t="s">
        <v>710</v>
      </c>
      <c r="F105" s="1133">
        <v>5159</v>
      </c>
      <c r="G105" s="1133">
        <v>4153</v>
      </c>
    </row>
    <row r="106" spans="2:7" s="584" customFormat="1" ht="18.75" x14ac:dyDescent="0.3">
      <c r="B106" s="1129"/>
      <c r="C106" s="1181"/>
      <c r="D106" s="1131"/>
      <c r="E106" s="1179" t="s">
        <v>711</v>
      </c>
      <c r="F106" s="1133">
        <v>4913099</v>
      </c>
      <c r="G106" s="1133">
        <v>4566053</v>
      </c>
    </row>
    <row r="107" spans="2:7" s="584" customFormat="1" ht="36.75" customHeight="1" x14ac:dyDescent="0.3">
      <c r="B107" s="1134" t="s">
        <v>763</v>
      </c>
      <c r="C107" s="2114" t="s">
        <v>762</v>
      </c>
      <c r="D107" s="2115"/>
      <c r="E107" s="1180" t="s">
        <v>713</v>
      </c>
      <c r="F107" s="1138">
        <f>SUM(F105:F106)</f>
        <v>4918258</v>
      </c>
      <c r="G107" s="1138">
        <f>SUM(G105:G106)</f>
        <v>4570206</v>
      </c>
    </row>
    <row r="108" spans="2:7" s="584" customFormat="1" ht="12" customHeight="1" x14ac:dyDescent="0.3">
      <c r="B108" s="1129"/>
      <c r="C108" s="1130"/>
      <c r="D108" s="1131"/>
      <c r="E108" s="1179"/>
      <c r="F108" s="1133"/>
      <c r="G108" s="1133"/>
    </row>
    <row r="109" spans="2:7" s="584" customFormat="1" ht="18.75" x14ac:dyDescent="0.3">
      <c r="B109" s="1129"/>
      <c r="C109" s="1130" t="s">
        <v>764</v>
      </c>
      <c r="D109" s="1131"/>
      <c r="E109" s="1179" t="s">
        <v>710</v>
      </c>
      <c r="F109" s="1133">
        <v>52033</v>
      </c>
      <c r="G109" s="1133">
        <v>90681</v>
      </c>
    </row>
    <row r="110" spans="2:7" s="584" customFormat="1" ht="18.75" x14ac:dyDescent="0.3">
      <c r="B110" s="1129"/>
      <c r="C110" s="1130"/>
      <c r="D110" s="1131"/>
      <c r="E110" s="1179" t="s">
        <v>711</v>
      </c>
      <c r="F110" s="1133">
        <v>444188</v>
      </c>
      <c r="G110" s="1133">
        <v>507023</v>
      </c>
    </row>
    <row r="111" spans="2:7" s="584" customFormat="1" ht="18.75" customHeight="1" x14ac:dyDescent="0.3">
      <c r="B111" s="1134" t="s">
        <v>765</v>
      </c>
      <c r="C111" s="1135" t="s">
        <v>764</v>
      </c>
      <c r="D111" s="1136"/>
      <c r="E111" s="1180" t="s">
        <v>713</v>
      </c>
      <c r="F111" s="1138">
        <f>SUM(F109:F110)</f>
        <v>496221</v>
      </c>
      <c r="G111" s="1138">
        <f>SUM(G109:G110)</f>
        <v>597704</v>
      </c>
    </row>
    <row r="112" spans="2:7" s="584" customFormat="1" ht="12" customHeight="1" x14ac:dyDescent="0.3">
      <c r="B112" s="1139"/>
      <c r="C112" s="1140"/>
      <c r="D112" s="1141"/>
      <c r="E112" s="1177"/>
      <c r="F112" s="1142"/>
      <c r="G112" s="1142"/>
    </row>
    <row r="113" spans="2:7" s="584" customFormat="1" ht="18.75" x14ac:dyDescent="0.3">
      <c r="B113" s="1129"/>
      <c r="C113" s="1130" t="s">
        <v>766</v>
      </c>
      <c r="D113" s="1131"/>
      <c r="E113" s="1179" t="s">
        <v>710</v>
      </c>
      <c r="F113" s="1133">
        <f>+F101+F105+F109</f>
        <v>71722</v>
      </c>
      <c r="G113" s="1133">
        <f>+G101+G105+G109</f>
        <v>123634</v>
      </c>
    </row>
    <row r="114" spans="2:7" s="584" customFormat="1" ht="19.5" thickBot="1" x14ac:dyDescent="0.35">
      <c r="B114" s="1129"/>
      <c r="C114" s="1130"/>
      <c r="D114" s="1131"/>
      <c r="E114" s="1179" t="s">
        <v>711</v>
      </c>
      <c r="F114" s="1133">
        <f>+F102+F106+F110</f>
        <v>7078222</v>
      </c>
      <c r="G114" s="1133">
        <f>+G102+G106+G110</f>
        <v>7199813</v>
      </c>
    </row>
    <row r="115" spans="2:7" s="584" customFormat="1" ht="30" customHeight="1" thickBot="1" x14ac:dyDescent="0.35">
      <c r="B115" s="1168" t="s">
        <v>767</v>
      </c>
      <c r="C115" s="2117" t="s">
        <v>766</v>
      </c>
      <c r="D115" s="2118"/>
      <c r="E115" s="1182" t="s">
        <v>713</v>
      </c>
      <c r="F115" s="1170">
        <f>SUM(F113:F114)</f>
        <v>7149944</v>
      </c>
      <c r="G115" s="1170">
        <f>SUM(G113:G114)</f>
        <v>7323447</v>
      </c>
    </row>
    <row r="116" spans="2:7" s="584" customFormat="1" ht="12" customHeight="1" x14ac:dyDescent="0.3">
      <c r="B116" s="1162"/>
      <c r="C116" s="1163"/>
      <c r="D116" s="1157"/>
      <c r="E116" s="1174"/>
      <c r="F116" s="1165"/>
      <c r="G116" s="1165"/>
    </row>
    <row r="117" spans="2:7" s="584" customFormat="1" ht="18.75" x14ac:dyDescent="0.3">
      <c r="B117" s="1129"/>
      <c r="C117" s="1130" t="s">
        <v>768</v>
      </c>
      <c r="D117" s="1131"/>
      <c r="E117" s="1179" t="s">
        <v>710</v>
      </c>
      <c r="F117" s="1133">
        <v>62913</v>
      </c>
      <c r="G117" s="1133">
        <v>214738</v>
      </c>
    </row>
    <row r="118" spans="2:7" s="584" customFormat="1" ht="19.5" thickBot="1" x14ac:dyDescent="0.35">
      <c r="B118" s="1129"/>
      <c r="C118" s="1130"/>
      <c r="D118" s="1131"/>
      <c r="E118" s="1179" t="s">
        <v>711</v>
      </c>
      <c r="F118" s="1133">
        <v>16201</v>
      </c>
      <c r="G118" s="1133">
        <v>5544</v>
      </c>
    </row>
    <row r="119" spans="2:7" s="584" customFormat="1" ht="30" customHeight="1" thickBot="1" x14ac:dyDescent="0.35">
      <c r="B119" s="1168" t="s">
        <v>769</v>
      </c>
      <c r="C119" s="2117" t="s">
        <v>768</v>
      </c>
      <c r="D119" s="2118"/>
      <c r="E119" s="1182" t="s">
        <v>713</v>
      </c>
      <c r="F119" s="1170">
        <f>SUM(F117:F118)</f>
        <v>79114</v>
      </c>
      <c r="G119" s="1170">
        <f>SUM(G117:G118)</f>
        <v>220282</v>
      </c>
    </row>
    <row r="120" spans="2:7" s="584" customFormat="1" ht="15.6" customHeight="1" x14ac:dyDescent="0.3">
      <c r="B120" s="1139"/>
      <c r="C120" s="1140"/>
      <c r="D120" s="1141"/>
      <c r="E120" s="1177"/>
      <c r="F120" s="1142"/>
      <c r="G120" s="1142"/>
    </row>
    <row r="121" spans="2:7" s="584" customFormat="1" ht="19.5" customHeight="1" x14ac:dyDescent="0.3">
      <c r="B121" s="1129"/>
      <c r="C121" s="2112" t="s">
        <v>770</v>
      </c>
      <c r="D121" s="2113"/>
      <c r="E121" s="1179" t="s">
        <v>710</v>
      </c>
      <c r="F121" s="1133">
        <v>13151</v>
      </c>
      <c r="G121" s="1133">
        <v>20781</v>
      </c>
    </row>
    <row r="122" spans="2:7" s="584" customFormat="1" ht="18.75" x14ac:dyDescent="0.3">
      <c r="B122" s="1129"/>
      <c r="C122" s="1130" t="s">
        <v>771</v>
      </c>
      <c r="D122" s="1131"/>
      <c r="E122" s="1179" t="s">
        <v>711</v>
      </c>
      <c r="F122" s="1133">
        <v>458533</v>
      </c>
      <c r="G122" s="1133">
        <v>468447</v>
      </c>
    </row>
    <row r="123" spans="2:7" s="584" customFormat="1" ht="40.5" customHeight="1" x14ac:dyDescent="0.3">
      <c r="B123" s="1134" t="s">
        <v>772</v>
      </c>
      <c r="C123" s="2114" t="s">
        <v>773</v>
      </c>
      <c r="D123" s="2115"/>
      <c r="E123" s="1180" t="s">
        <v>713</v>
      </c>
      <c r="F123" s="1138">
        <f>SUM(F121:F122)</f>
        <v>471684</v>
      </c>
      <c r="G123" s="1138">
        <f>SUM(G121:G122)</f>
        <v>489228</v>
      </c>
    </row>
    <row r="124" spans="2:7" s="584" customFormat="1" ht="11.1" customHeight="1" x14ac:dyDescent="0.3">
      <c r="B124" s="1129"/>
      <c r="C124" s="1130"/>
      <c r="D124" s="1131"/>
      <c r="E124" s="1179"/>
      <c r="F124" s="1133"/>
      <c r="G124" s="1133"/>
    </row>
    <row r="125" spans="2:7" s="584" customFormat="1" ht="18.75" x14ac:dyDescent="0.3">
      <c r="B125" s="1129"/>
      <c r="C125" s="1130" t="s">
        <v>774</v>
      </c>
      <c r="D125" s="1131"/>
      <c r="E125" s="1179" t="s">
        <v>710</v>
      </c>
      <c r="F125" s="1133">
        <v>7553</v>
      </c>
      <c r="G125" s="1133">
        <v>3856</v>
      </c>
    </row>
    <row r="126" spans="2:7" s="584" customFormat="1" ht="18.75" x14ac:dyDescent="0.3">
      <c r="B126" s="1129"/>
      <c r="C126" s="1181"/>
      <c r="D126" s="1131"/>
      <c r="E126" s="1179" t="s">
        <v>711</v>
      </c>
      <c r="F126" s="1133">
        <v>1323</v>
      </c>
      <c r="G126" s="1133">
        <v>7409</v>
      </c>
    </row>
    <row r="127" spans="2:7" s="584" customFormat="1" ht="38.25" customHeight="1" x14ac:dyDescent="0.3">
      <c r="B127" s="1134" t="s">
        <v>775</v>
      </c>
      <c r="C127" s="2114" t="s">
        <v>774</v>
      </c>
      <c r="D127" s="2116"/>
      <c r="E127" s="1180" t="s">
        <v>713</v>
      </c>
      <c r="F127" s="1138">
        <f>SUM(F125:F126)</f>
        <v>8876</v>
      </c>
      <c r="G127" s="1138">
        <f>SUM(G125:G126)</f>
        <v>11265</v>
      </c>
    </row>
    <row r="128" spans="2:7" s="584" customFormat="1" ht="11.1" customHeight="1" x14ac:dyDescent="0.3">
      <c r="B128" s="1129"/>
      <c r="C128" s="1130"/>
      <c r="D128" s="1131"/>
      <c r="E128" s="1179"/>
      <c r="F128" s="1133"/>
      <c r="G128" s="1133"/>
    </row>
    <row r="129" spans="2:7" s="584" customFormat="1" ht="18.75" x14ac:dyDescent="0.3">
      <c r="B129" s="1129"/>
      <c r="C129" s="1130" t="s">
        <v>776</v>
      </c>
      <c r="D129" s="1131"/>
      <c r="E129" s="1179" t="s">
        <v>710</v>
      </c>
      <c r="F129" s="1133">
        <v>0</v>
      </c>
      <c r="G129" s="1133"/>
    </row>
    <row r="130" spans="2:7" s="584" customFormat="1" ht="18.75" x14ac:dyDescent="0.3">
      <c r="B130" s="1129"/>
      <c r="C130" s="1130"/>
      <c r="D130" s="1131"/>
      <c r="E130" s="1179" t="s">
        <v>711</v>
      </c>
      <c r="F130" s="1133">
        <v>0</v>
      </c>
      <c r="G130" s="1133"/>
    </row>
    <row r="131" spans="2:7" s="584" customFormat="1" ht="15.6" customHeight="1" x14ac:dyDescent="0.3">
      <c r="B131" s="1134" t="s">
        <v>777</v>
      </c>
      <c r="C131" s="1135" t="s">
        <v>776</v>
      </c>
      <c r="D131" s="1136"/>
      <c r="E131" s="1180" t="s">
        <v>713</v>
      </c>
      <c r="F131" s="1138">
        <f>SUM(F129:F130)</f>
        <v>0</v>
      </c>
      <c r="G131" s="1138">
        <f>SUM(G129:G130)</f>
        <v>0</v>
      </c>
    </row>
    <row r="132" spans="2:7" s="584" customFormat="1" ht="18.75" x14ac:dyDescent="0.3">
      <c r="B132" s="1129"/>
      <c r="C132" s="1130"/>
      <c r="D132" s="1131"/>
      <c r="E132" s="1179"/>
      <c r="F132" s="1133"/>
      <c r="G132" s="1133"/>
    </row>
    <row r="133" spans="2:7" s="584" customFormat="1" ht="18.75" x14ac:dyDescent="0.3">
      <c r="B133" s="1129"/>
      <c r="C133" s="1130" t="s">
        <v>778</v>
      </c>
      <c r="D133" s="1131"/>
      <c r="E133" s="1179" t="s">
        <v>710</v>
      </c>
      <c r="F133" s="1133">
        <f>+F121+F125+F129</f>
        <v>20704</v>
      </c>
      <c r="G133" s="1133">
        <f>+G121+G125+G129</f>
        <v>24637</v>
      </c>
    </row>
    <row r="134" spans="2:7" s="584" customFormat="1" ht="19.5" thickBot="1" x14ac:dyDescent="0.35">
      <c r="B134" s="1129"/>
      <c r="C134" s="1130"/>
      <c r="D134" s="1131"/>
      <c r="E134" s="1179" t="s">
        <v>711</v>
      </c>
      <c r="F134" s="1133">
        <f>+F122+F126+F130</f>
        <v>459856</v>
      </c>
      <c r="G134" s="1133">
        <f>+G122+G126+G130</f>
        <v>475856</v>
      </c>
    </row>
    <row r="135" spans="2:7" s="584" customFormat="1" ht="30" customHeight="1" thickBot="1" x14ac:dyDescent="0.35">
      <c r="B135" s="1168" t="s">
        <v>779</v>
      </c>
      <c r="C135" s="2117" t="s">
        <v>778</v>
      </c>
      <c r="D135" s="2118"/>
      <c r="E135" s="1182" t="s">
        <v>713</v>
      </c>
      <c r="F135" s="1170">
        <f>SUM(F133:F134)</f>
        <v>480560</v>
      </c>
      <c r="G135" s="1170">
        <f>SUM(G133:G134)</f>
        <v>500493</v>
      </c>
    </row>
    <row r="136" spans="2:7" s="584" customFormat="1" ht="18.75" x14ac:dyDescent="0.3">
      <c r="B136" s="1129"/>
      <c r="C136" s="1130"/>
      <c r="D136" s="1131"/>
      <c r="E136" s="1179"/>
      <c r="F136" s="1133"/>
      <c r="G136" s="1133"/>
    </row>
    <row r="137" spans="2:7" s="584" customFormat="1" ht="18.75" x14ac:dyDescent="0.3">
      <c r="B137" s="1129"/>
      <c r="C137" s="1140" t="s">
        <v>705</v>
      </c>
      <c r="D137" s="1131"/>
      <c r="E137" s="1179" t="s">
        <v>710</v>
      </c>
      <c r="F137" s="1133">
        <f>+F59+F71+F97+F113+F117+F133</f>
        <v>6728096</v>
      </c>
      <c r="G137" s="1133">
        <f>+G59+G71+G97+G113+G117+G133</f>
        <v>6465864</v>
      </c>
    </row>
    <row r="138" spans="2:7" s="584" customFormat="1" ht="19.5" thickBot="1" x14ac:dyDescent="0.35">
      <c r="B138" s="1129"/>
      <c r="C138" s="1130"/>
      <c r="D138" s="1131"/>
      <c r="E138" s="1179" t="s">
        <v>711</v>
      </c>
      <c r="F138" s="1133">
        <f>+F60+F72+F98+F114+F118+F134</f>
        <v>97754407</v>
      </c>
      <c r="G138" s="1133">
        <f>+G60+G72+G98+G114+G118+G134</f>
        <v>109291539</v>
      </c>
    </row>
    <row r="139" spans="2:7" s="584" customFormat="1" ht="30" customHeight="1" thickBot="1" x14ac:dyDescent="0.35">
      <c r="B139" s="1168"/>
      <c r="C139" s="2117" t="s">
        <v>780</v>
      </c>
      <c r="D139" s="2118"/>
      <c r="E139" s="1182" t="s">
        <v>713</v>
      </c>
      <c r="F139" s="1170">
        <f>SUM(F137:F138)</f>
        <v>104482503</v>
      </c>
      <c r="G139" s="1170">
        <f>SUM(G137:G138)</f>
        <v>115757403</v>
      </c>
    </row>
  </sheetData>
  <mergeCells count="17">
    <mergeCell ref="C119:D119"/>
    <mergeCell ref="B4:G4"/>
    <mergeCell ref="B5:G5"/>
    <mergeCell ref="C7:D7"/>
    <mergeCell ref="C57:D57"/>
    <mergeCell ref="C59:D59"/>
    <mergeCell ref="C61:D61"/>
    <mergeCell ref="C73:D73"/>
    <mergeCell ref="C76:D76"/>
    <mergeCell ref="C99:D99"/>
    <mergeCell ref="C107:D107"/>
    <mergeCell ref="C115:D115"/>
    <mergeCell ref="C121:D121"/>
    <mergeCell ref="C123:D123"/>
    <mergeCell ref="C127:D127"/>
    <mergeCell ref="C135:D135"/>
    <mergeCell ref="C139:D139"/>
  </mergeCells>
  <printOptions horizontalCentered="1" verticalCentered="1"/>
  <pageMargins left="0.19685039370078741" right="0.19685039370078741" top="0.27559055118110237" bottom="0.23622047244094491" header="0.27559055118110237" footer="0.23622047244094491"/>
  <pageSetup paperSize="9" scale="65" orientation="portrait" r:id="rId1"/>
  <headerFooter alignWithMargins="0">
    <oddHeader xml:space="preserve">&amp;R&amp;"-,Félkövér"&amp;11  23. melléklet a 13/2023. (V.26.) önkormányzati rendelethez </oddHeader>
  </headerFooter>
  <rowBreaks count="1" manualBreakCount="1">
    <brk id="74" min="1" max="6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1C43C-4312-4C89-B9F1-7882FE740B06}">
  <dimension ref="B1:H88"/>
  <sheetViews>
    <sheetView view="pageLayout" topLeftCell="A76" zoomScaleNormal="85" zoomScaleSheetLayoutView="75" workbookViewId="0">
      <selection activeCell="G77" sqref="G77"/>
    </sheetView>
  </sheetViews>
  <sheetFormatPr defaultColWidth="10.6640625" defaultRowHeight="14.25" x14ac:dyDescent="0.2"/>
  <cols>
    <col min="1" max="1" width="10.6640625" style="587"/>
    <col min="2" max="2" width="7.6640625" style="586" customWidth="1"/>
    <col min="3" max="3" width="10.6640625" style="587" customWidth="1"/>
    <col min="4" max="4" width="69.83203125" style="587" customWidth="1"/>
    <col min="5" max="5" width="30.33203125" style="587" customWidth="1"/>
    <col min="6" max="7" width="21.5" style="587" customWidth="1"/>
    <col min="8" max="16384" width="10.6640625" style="587"/>
  </cols>
  <sheetData>
    <row r="1" spans="2:8" ht="15.75" x14ac:dyDescent="0.25">
      <c r="F1" s="588"/>
      <c r="G1" s="588"/>
      <c r="H1" s="588"/>
    </row>
    <row r="2" spans="2:8" ht="17.25" customHeight="1" x14ac:dyDescent="0.3">
      <c r="B2" s="1973" t="s">
        <v>1190</v>
      </c>
      <c r="C2" s="1973"/>
      <c r="D2" s="1973"/>
      <c r="E2" s="1973"/>
      <c r="F2" s="1973"/>
      <c r="G2" s="1973"/>
    </row>
    <row r="3" spans="2:8" ht="20.25" customHeight="1" x14ac:dyDescent="0.3">
      <c r="B3" s="2119" t="s">
        <v>781</v>
      </c>
      <c r="C3" s="2119"/>
      <c r="D3" s="2119"/>
      <c r="E3" s="2119"/>
      <c r="F3" s="2119"/>
      <c r="G3" s="2119"/>
    </row>
    <row r="4" spans="2:8" ht="19.5" thickBot="1" x14ac:dyDescent="0.35">
      <c r="B4" s="928"/>
      <c r="C4" s="928"/>
      <c r="D4" s="928"/>
      <c r="E4" s="928"/>
      <c r="F4" s="1046"/>
      <c r="G4" s="1046" t="s">
        <v>17</v>
      </c>
    </row>
    <row r="5" spans="2:8" ht="20.25" customHeight="1" x14ac:dyDescent="0.3">
      <c r="B5" s="1117"/>
      <c r="C5" s="2121" t="s">
        <v>31</v>
      </c>
      <c r="D5" s="2122"/>
      <c r="E5" s="1176"/>
      <c r="F5" s="1119" t="s">
        <v>706</v>
      </c>
      <c r="G5" s="1119" t="s">
        <v>1188</v>
      </c>
    </row>
    <row r="6" spans="2:8" ht="19.5" customHeight="1" x14ac:dyDescent="0.3">
      <c r="B6" s="1120"/>
      <c r="C6" s="1120"/>
      <c r="D6" s="1121"/>
      <c r="E6" s="1177"/>
      <c r="F6" s="1123" t="s">
        <v>707</v>
      </c>
      <c r="G6" s="1123" t="s">
        <v>707</v>
      </c>
    </row>
    <row r="7" spans="2:8" ht="16.5" customHeight="1" thickBot="1" x14ac:dyDescent="0.35">
      <c r="B7" s="1124"/>
      <c r="C7" s="1124"/>
      <c r="D7" s="1125"/>
      <c r="E7" s="1178"/>
      <c r="F7" s="1127" t="s">
        <v>708</v>
      </c>
      <c r="G7" s="1127" t="s">
        <v>1189</v>
      </c>
    </row>
    <row r="8" spans="2:8" ht="20.25" customHeight="1" x14ac:dyDescent="0.3">
      <c r="B8" s="1139"/>
      <c r="C8" s="1140"/>
      <c r="D8" s="1141"/>
      <c r="E8" s="1177"/>
      <c r="F8" s="1142"/>
      <c r="G8" s="1142"/>
    </row>
    <row r="9" spans="2:8" ht="18.75" x14ac:dyDescent="0.3">
      <c r="B9" s="1129"/>
      <c r="C9" s="1130" t="s">
        <v>782</v>
      </c>
      <c r="D9" s="1131"/>
      <c r="E9" s="1179" t="s">
        <v>710</v>
      </c>
      <c r="F9" s="1133">
        <v>11929473</v>
      </c>
      <c r="G9" s="1133">
        <v>10957110</v>
      </c>
    </row>
    <row r="10" spans="2:8" ht="18.75" x14ac:dyDescent="0.3">
      <c r="B10" s="1129"/>
      <c r="C10" s="1130"/>
      <c r="D10" s="1131"/>
      <c r="E10" s="1179" t="s">
        <v>711</v>
      </c>
      <c r="F10" s="1133">
        <v>86560778</v>
      </c>
      <c r="G10" s="1133">
        <v>87533141</v>
      </c>
    </row>
    <row r="11" spans="2:8" ht="19.5" customHeight="1" x14ac:dyDescent="0.3">
      <c r="B11" s="1134" t="s">
        <v>783</v>
      </c>
      <c r="C11" s="1135" t="s">
        <v>782</v>
      </c>
      <c r="D11" s="1136"/>
      <c r="E11" s="1180" t="s">
        <v>713</v>
      </c>
      <c r="F11" s="1138">
        <f>SUM(F9:F10)</f>
        <v>98490251</v>
      </c>
      <c r="G11" s="1138">
        <f>SUM(G9:G10)</f>
        <v>98490251</v>
      </c>
    </row>
    <row r="12" spans="2:8" ht="15.75" customHeight="1" x14ac:dyDescent="0.3">
      <c r="B12" s="1129"/>
      <c r="C12" s="1130"/>
      <c r="D12" s="1131"/>
      <c r="E12" s="1179"/>
      <c r="F12" s="1133"/>
      <c r="G12" s="1133"/>
    </row>
    <row r="13" spans="2:8" ht="18.75" x14ac:dyDescent="0.3">
      <c r="B13" s="1129"/>
      <c r="C13" s="1130" t="s">
        <v>784</v>
      </c>
      <c r="D13" s="1131"/>
      <c r="E13" s="1179" t="s">
        <v>710</v>
      </c>
      <c r="F13" s="1133">
        <v>-2468422</v>
      </c>
      <c r="G13" s="1133">
        <v>-2468422</v>
      </c>
    </row>
    <row r="14" spans="2:8" ht="18.75" x14ac:dyDescent="0.3">
      <c r="B14" s="1129"/>
      <c r="C14" s="1181"/>
      <c r="D14" s="1131"/>
      <c r="E14" s="1179" t="s">
        <v>711</v>
      </c>
      <c r="F14" s="1133">
        <v>218089</v>
      </c>
      <c r="G14" s="1133">
        <v>8024637</v>
      </c>
    </row>
    <row r="15" spans="2:8" ht="20.25" customHeight="1" x14ac:dyDescent="0.3">
      <c r="B15" s="1134" t="s">
        <v>785</v>
      </c>
      <c r="C15" s="1135" t="s">
        <v>784</v>
      </c>
      <c r="D15" s="1136"/>
      <c r="E15" s="1180" t="s">
        <v>713</v>
      </c>
      <c r="F15" s="1138">
        <f>SUM(F13:F14)</f>
        <v>-2250333</v>
      </c>
      <c r="G15" s="1138">
        <f>SUM(G13:G14)</f>
        <v>5556215</v>
      </c>
    </row>
    <row r="16" spans="2:8" ht="18.75" x14ac:dyDescent="0.3">
      <c r="B16" s="1129"/>
      <c r="C16" s="1130"/>
      <c r="D16" s="1131"/>
      <c r="E16" s="1179"/>
      <c r="F16" s="1133"/>
      <c r="G16" s="1133"/>
    </row>
    <row r="17" spans="2:7" ht="15" customHeight="1" x14ac:dyDescent="0.3">
      <c r="B17" s="1129"/>
      <c r="C17" s="1130" t="s">
        <v>786</v>
      </c>
      <c r="D17" s="1131"/>
      <c r="E17" s="1179" t="s">
        <v>710</v>
      </c>
      <c r="F17" s="1133">
        <v>150025</v>
      </c>
      <c r="G17" s="1133">
        <v>132915</v>
      </c>
    </row>
    <row r="18" spans="2:7" ht="15.75" customHeight="1" x14ac:dyDescent="0.3">
      <c r="B18" s="1129"/>
      <c r="C18" s="1130"/>
      <c r="D18" s="1131"/>
      <c r="E18" s="1179" t="s">
        <v>711</v>
      </c>
      <c r="F18" s="1133">
        <v>771117</v>
      </c>
      <c r="G18" s="1133">
        <v>788227</v>
      </c>
    </row>
    <row r="19" spans="2:7" ht="18.75" customHeight="1" x14ac:dyDescent="0.3">
      <c r="B19" s="1134" t="s">
        <v>787</v>
      </c>
      <c r="C19" s="1135" t="s">
        <v>786</v>
      </c>
      <c r="D19" s="1136"/>
      <c r="E19" s="1180" t="s">
        <v>713</v>
      </c>
      <c r="F19" s="1138">
        <f>SUM(F17:F18)</f>
        <v>921142</v>
      </c>
      <c r="G19" s="1138">
        <f>SUM(G17:G18)</f>
        <v>921142</v>
      </c>
    </row>
    <row r="20" spans="2:7" ht="18.75" x14ac:dyDescent="0.3">
      <c r="B20" s="1129"/>
      <c r="C20" s="1130"/>
      <c r="D20" s="1131"/>
      <c r="E20" s="1179"/>
      <c r="F20" s="1133"/>
      <c r="G20" s="1133"/>
    </row>
    <row r="21" spans="2:7" ht="18.75" x14ac:dyDescent="0.3">
      <c r="B21" s="1129"/>
      <c r="C21" s="1130" t="s">
        <v>788</v>
      </c>
      <c r="D21" s="1131"/>
      <c r="E21" s="1179" t="s">
        <v>710</v>
      </c>
      <c r="F21" s="1133">
        <v>-3627448</v>
      </c>
      <c r="G21" s="1133">
        <v>-3207188</v>
      </c>
    </row>
    <row r="22" spans="2:7" ht="18.75" x14ac:dyDescent="0.3">
      <c r="B22" s="1129"/>
      <c r="C22" s="1130"/>
      <c r="D22" s="1131"/>
      <c r="E22" s="1179" t="s">
        <v>711</v>
      </c>
      <c r="F22" s="1133">
        <v>-18237672</v>
      </c>
      <c r="G22" s="1133">
        <v>-11935368</v>
      </c>
    </row>
    <row r="23" spans="2:7" ht="18.75" customHeight="1" x14ac:dyDescent="0.3">
      <c r="B23" s="1134" t="s">
        <v>789</v>
      </c>
      <c r="C23" s="1135" t="s">
        <v>788</v>
      </c>
      <c r="D23" s="1136"/>
      <c r="E23" s="1180" t="s">
        <v>713</v>
      </c>
      <c r="F23" s="1138">
        <f>SUM(F21:F22)</f>
        <v>-21865120</v>
      </c>
      <c r="G23" s="1138">
        <f>SUM(G21:G22)</f>
        <v>-15142556</v>
      </c>
    </row>
    <row r="24" spans="2:7" ht="18.75" x14ac:dyDescent="0.3">
      <c r="B24" s="1129"/>
      <c r="C24" s="1130"/>
      <c r="D24" s="1131"/>
      <c r="E24" s="1179"/>
      <c r="F24" s="1133"/>
      <c r="G24" s="1133"/>
    </row>
    <row r="25" spans="2:7" ht="15" customHeight="1" x14ac:dyDescent="0.3">
      <c r="B25" s="1129"/>
      <c r="C25" s="1130" t="s">
        <v>790</v>
      </c>
      <c r="D25" s="1131"/>
      <c r="E25" s="1179" t="s">
        <v>710</v>
      </c>
      <c r="F25" s="1133">
        <v>0</v>
      </c>
      <c r="G25" s="1133">
        <v>0</v>
      </c>
    </row>
    <row r="26" spans="2:7" ht="16.5" customHeight="1" x14ac:dyDescent="0.3">
      <c r="B26" s="1129"/>
      <c r="C26" s="1130"/>
      <c r="D26" s="1131"/>
      <c r="E26" s="1179" t="s">
        <v>711</v>
      </c>
      <c r="F26" s="1133">
        <v>0</v>
      </c>
      <c r="G26" s="1133">
        <v>0</v>
      </c>
    </row>
    <row r="27" spans="2:7" ht="19.5" customHeight="1" x14ac:dyDescent="0.3">
      <c r="B27" s="1134" t="s">
        <v>791</v>
      </c>
      <c r="C27" s="1135" t="s">
        <v>790</v>
      </c>
      <c r="D27" s="1136"/>
      <c r="E27" s="1180" t="s">
        <v>713</v>
      </c>
      <c r="F27" s="1138">
        <f>SUM(F25:F26)</f>
        <v>0</v>
      </c>
      <c r="G27" s="1138">
        <f>SUM(G25:G26)</f>
        <v>0</v>
      </c>
    </row>
    <row r="28" spans="2:7" ht="18.75" x14ac:dyDescent="0.3">
      <c r="B28" s="1129"/>
      <c r="C28" s="1130"/>
      <c r="D28" s="1131"/>
      <c r="E28" s="1179"/>
      <c r="F28" s="1133"/>
      <c r="G28" s="1133"/>
    </row>
    <row r="29" spans="2:7" ht="18.75" x14ac:dyDescent="0.3">
      <c r="B29" s="1129"/>
      <c r="C29" s="1130" t="s">
        <v>792</v>
      </c>
      <c r="D29" s="1131"/>
      <c r="E29" s="1179" t="s">
        <v>710</v>
      </c>
      <c r="F29" s="1133">
        <v>-208922</v>
      </c>
      <c r="G29" s="1133">
        <v>-29070</v>
      </c>
    </row>
    <row r="30" spans="2:7" ht="18.75" x14ac:dyDescent="0.3">
      <c r="B30" s="1129"/>
      <c r="C30" s="1130"/>
      <c r="D30" s="1131"/>
      <c r="E30" s="1179" t="s">
        <v>711</v>
      </c>
      <c r="F30" s="1133">
        <v>252860</v>
      </c>
      <c r="G30" s="1133">
        <v>-813231</v>
      </c>
    </row>
    <row r="31" spans="2:7" ht="20.25" customHeight="1" x14ac:dyDescent="0.3">
      <c r="B31" s="1134" t="s">
        <v>793</v>
      </c>
      <c r="C31" s="1135" t="s">
        <v>792</v>
      </c>
      <c r="D31" s="1136"/>
      <c r="E31" s="1180" t="s">
        <v>713</v>
      </c>
      <c r="F31" s="1138">
        <f>SUM(F29:F30)</f>
        <v>43938</v>
      </c>
      <c r="G31" s="1138">
        <f>SUM(G29:G30)</f>
        <v>-842301</v>
      </c>
    </row>
    <row r="32" spans="2:7" ht="15" customHeight="1" x14ac:dyDescent="0.3">
      <c r="B32" s="1139"/>
      <c r="C32" s="1140"/>
      <c r="D32" s="1141"/>
      <c r="E32" s="1177"/>
      <c r="F32" s="1142"/>
      <c r="G32" s="1142"/>
    </row>
    <row r="33" spans="2:7" ht="18.75" x14ac:dyDescent="0.3">
      <c r="B33" s="1129"/>
      <c r="C33" s="1130" t="s">
        <v>794</v>
      </c>
      <c r="D33" s="1131"/>
      <c r="E33" s="1179" t="s">
        <v>710</v>
      </c>
      <c r="F33" s="1133">
        <f>+F9+F13+F17+F21+F25+F29</f>
        <v>5774706</v>
      </c>
      <c r="G33" s="1133">
        <f>+G9+G13+G17+G21+G25+G29</f>
        <v>5385345</v>
      </c>
    </row>
    <row r="34" spans="2:7" ht="19.5" thickBot="1" x14ac:dyDescent="0.35">
      <c r="B34" s="1129"/>
      <c r="C34" s="1130"/>
      <c r="D34" s="1131"/>
      <c r="E34" s="1179" t="s">
        <v>711</v>
      </c>
      <c r="F34" s="1133">
        <f>+F10+F14+F18+F22+F26+F30</f>
        <v>69565172</v>
      </c>
      <c r="G34" s="1133">
        <f>+G10+G14+G18+G22+G26+G30</f>
        <v>83597406</v>
      </c>
    </row>
    <row r="35" spans="2:7" ht="24" customHeight="1" thickBot="1" x14ac:dyDescent="0.35">
      <c r="B35" s="1168" t="s">
        <v>795</v>
      </c>
      <c r="C35" s="2117" t="s">
        <v>796</v>
      </c>
      <c r="D35" s="2118"/>
      <c r="E35" s="1182" t="s">
        <v>713</v>
      </c>
      <c r="F35" s="1170">
        <f>SUM(F33:F34)</f>
        <v>75339878</v>
      </c>
      <c r="G35" s="1170">
        <f>SUM(G33:G34)</f>
        <v>88982751</v>
      </c>
    </row>
    <row r="36" spans="2:7" ht="18.75" x14ac:dyDescent="0.3">
      <c r="B36" s="1139"/>
      <c r="C36" s="1140"/>
      <c r="D36" s="1141"/>
      <c r="E36" s="1177"/>
      <c r="F36" s="1142"/>
      <c r="G36" s="1142"/>
    </row>
    <row r="37" spans="2:7" ht="18.75" x14ac:dyDescent="0.3">
      <c r="B37" s="1129"/>
      <c r="C37" s="1130" t="s">
        <v>797</v>
      </c>
      <c r="D37" s="1131"/>
      <c r="E37" s="1179" t="s">
        <v>710</v>
      </c>
      <c r="F37" s="1133">
        <v>85013</v>
      </c>
      <c r="G37" s="1133">
        <v>55965</v>
      </c>
    </row>
    <row r="38" spans="2:7" ht="18.75" x14ac:dyDescent="0.3">
      <c r="B38" s="1129"/>
      <c r="C38" s="1130"/>
      <c r="D38" s="1131"/>
      <c r="E38" s="1179" t="s">
        <v>711</v>
      </c>
      <c r="F38" s="1133">
        <v>150395</v>
      </c>
      <c r="G38" s="1133">
        <v>350212</v>
      </c>
    </row>
    <row r="39" spans="2:7" ht="21" customHeight="1" x14ac:dyDescent="0.3">
      <c r="B39" s="1134" t="s">
        <v>798</v>
      </c>
      <c r="C39" s="1135" t="s">
        <v>797</v>
      </c>
      <c r="D39" s="1136"/>
      <c r="E39" s="1180" t="s">
        <v>713</v>
      </c>
      <c r="F39" s="1138">
        <f>SUM(F37:F38)</f>
        <v>235408</v>
      </c>
      <c r="G39" s="1138">
        <f>SUM(G37:G38)</f>
        <v>406177</v>
      </c>
    </row>
    <row r="40" spans="2:7" ht="12.75" customHeight="1" x14ac:dyDescent="0.3">
      <c r="B40" s="1129"/>
      <c r="C40" s="1130"/>
      <c r="D40" s="1131"/>
      <c r="E40" s="1179"/>
      <c r="F40" s="1133"/>
      <c r="G40" s="1133"/>
    </row>
    <row r="41" spans="2:7" ht="18.75" x14ac:dyDescent="0.3">
      <c r="B41" s="1129"/>
      <c r="C41" s="1130" t="s">
        <v>799</v>
      </c>
      <c r="D41" s="1131"/>
      <c r="E41" s="1179" t="s">
        <v>710</v>
      </c>
      <c r="F41" s="1133">
        <v>28751</v>
      </c>
      <c r="G41" s="1133">
        <v>17663</v>
      </c>
    </row>
    <row r="42" spans="2:7" ht="18.75" x14ac:dyDescent="0.3">
      <c r="B42" s="1129"/>
      <c r="C42" s="1181"/>
      <c r="D42" s="1131"/>
      <c r="E42" s="1179" t="s">
        <v>711</v>
      </c>
      <c r="F42" s="1133">
        <v>1704965</v>
      </c>
      <c r="G42" s="1133">
        <v>1376310</v>
      </c>
    </row>
    <row r="43" spans="2:7" ht="16.5" customHeight="1" x14ac:dyDescent="0.3">
      <c r="B43" s="1134" t="s">
        <v>800</v>
      </c>
      <c r="C43" s="1135" t="s">
        <v>799</v>
      </c>
      <c r="D43" s="1136"/>
      <c r="E43" s="1180" t="s">
        <v>713</v>
      </c>
      <c r="F43" s="1138">
        <f>SUM(F41:F42)</f>
        <v>1733716</v>
      </c>
      <c r="G43" s="1138">
        <f>SUM(G41:G42)</f>
        <v>1393973</v>
      </c>
    </row>
    <row r="44" spans="2:7" ht="18.75" x14ac:dyDescent="0.3">
      <c r="B44" s="1129"/>
      <c r="C44" s="1130"/>
      <c r="D44" s="1131"/>
      <c r="E44" s="1179"/>
      <c r="F44" s="1133"/>
      <c r="G44" s="1133"/>
    </row>
    <row r="45" spans="2:7" ht="15" customHeight="1" x14ac:dyDescent="0.3">
      <c r="B45" s="1129"/>
      <c r="C45" s="1130" t="s">
        <v>801</v>
      </c>
      <c r="D45" s="1131"/>
      <c r="E45" s="1179" t="s">
        <v>710</v>
      </c>
      <c r="F45" s="1133">
        <v>15669</v>
      </c>
      <c r="G45" s="1133">
        <v>14027</v>
      </c>
    </row>
    <row r="46" spans="2:7" ht="18.75" x14ac:dyDescent="0.3">
      <c r="B46" s="1129"/>
      <c r="C46" s="1130"/>
      <c r="D46" s="1131"/>
      <c r="E46" s="1179" t="s">
        <v>711</v>
      </c>
      <c r="F46" s="1133">
        <v>628529</v>
      </c>
      <c r="G46" s="1133">
        <v>991129</v>
      </c>
    </row>
    <row r="47" spans="2:7" ht="17.25" customHeight="1" x14ac:dyDescent="0.3">
      <c r="B47" s="1134" t="s">
        <v>802</v>
      </c>
      <c r="C47" s="1135" t="s">
        <v>801</v>
      </c>
      <c r="D47" s="1136"/>
      <c r="E47" s="1180" t="s">
        <v>713</v>
      </c>
      <c r="F47" s="1138">
        <f>SUM(F45:F46)</f>
        <v>644198</v>
      </c>
      <c r="G47" s="1138">
        <f>SUM(G45:G46)</f>
        <v>1005156</v>
      </c>
    </row>
    <row r="48" spans="2:7" ht="18.75" x14ac:dyDescent="0.3">
      <c r="B48" s="1139"/>
      <c r="C48" s="1140"/>
      <c r="D48" s="1141"/>
      <c r="E48" s="1177"/>
      <c r="F48" s="1142"/>
      <c r="G48" s="1142"/>
    </row>
    <row r="49" spans="2:7" ht="18.75" x14ac:dyDescent="0.3">
      <c r="B49" s="1129"/>
      <c r="C49" s="1130" t="s">
        <v>803</v>
      </c>
      <c r="D49" s="1131"/>
      <c r="E49" s="1179" t="s">
        <v>710</v>
      </c>
      <c r="F49" s="1133">
        <f>+F37+F41+F45</f>
        <v>129433</v>
      </c>
      <c r="G49" s="1133">
        <f>+G37+G41+G45</f>
        <v>87655</v>
      </c>
    </row>
    <row r="50" spans="2:7" ht="19.5" thickBot="1" x14ac:dyDescent="0.35">
      <c r="B50" s="1129"/>
      <c r="C50" s="1130"/>
      <c r="D50" s="1131"/>
      <c r="E50" s="1179" t="s">
        <v>711</v>
      </c>
      <c r="F50" s="1133">
        <f>+F38+F42+F46</f>
        <v>2483889</v>
      </c>
      <c r="G50" s="1133">
        <f>+G38+G42+G46</f>
        <v>2717651</v>
      </c>
    </row>
    <row r="51" spans="2:7" ht="21.75" customHeight="1" thickBot="1" x14ac:dyDescent="0.35">
      <c r="B51" s="1168" t="s">
        <v>804</v>
      </c>
      <c r="C51" s="2117" t="s">
        <v>803</v>
      </c>
      <c r="D51" s="2118"/>
      <c r="E51" s="1182" t="s">
        <v>713</v>
      </c>
      <c r="F51" s="1170">
        <f>SUM(F49:F50)</f>
        <v>2613322</v>
      </c>
      <c r="G51" s="1170">
        <f>SUM(G49:G50)</f>
        <v>2805306</v>
      </c>
    </row>
    <row r="52" spans="2:7" ht="12.75" customHeight="1" x14ac:dyDescent="0.3">
      <c r="B52" s="1162"/>
      <c r="C52" s="1163"/>
      <c r="D52" s="1157"/>
      <c r="E52" s="1174"/>
      <c r="F52" s="1165"/>
      <c r="G52" s="1165"/>
    </row>
    <row r="53" spans="2:7" ht="12.75" customHeight="1" x14ac:dyDescent="0.3">
      <c r="B53" s="1162"/>
      <c r="C53" s="1163"/>
      <c r="D53" s="1157"/>
      <c r="E53" s="1174"/>
      <c r="F53" s="1165"/>
      <c r="G53" s="1165"/>
    </row>
    <row r="54" spans="2:7" ht="18.75" x14ac:dyDescent="0.3">
      <c r="B54" s="1129"/>
      <c r="C54" s="1130" t="s">
        <v>805</v>
      </c>
      <c r="D54" s="1131"/>
      <c r="E54" s="1179" t="s">
        <v>710</v>
      </c>
      <c r="F54" s="1133">
        <v>0</v>
      </c>
      <c r="G54" s="1133">
        <v>0</v>
      </c>
    </row>
    <row r="55" spans="2:7" ht="19.5" thickBot="1" x14ac:dyDescent="0.35">
      <c r="B55" s="1129"/>
      <c r="C55" s="1130"/>
      <c r="D55" s="1131"/>
      <c r="E55" s="1179" t="s">
        <v>711</v>
      </c>
      <c r="F55" s="1133">
        <v>0</v>
      </c>
      <c r="G55" s="1133"/>
    </row>
    <row r="56" spans="2:7" ht="35.25" customHeight="1" thickBot="1" x14ac:dyDescent="0.35">
      <c r="B56" s="1168" t="s">
        <v>806</v>
      </c>
      <c r="C56" s="2117" t="s">
        <v>805</v>
      </c>
      <c r="D56" s="2118"/>
      <c r="E56" s="1182" t="s">
        <v>713</v>
      </c>
      <c r="F56" s="1170">
        <f>SUM(F54:F55)</f>
        <v>0</v>
      </c>
      <c r="G56" s="1170">
        <f>SUM(G54:G55)</f>
        <v>0</v>
      </c>
    </row>
    <row r="57" spans="2:7" ht="12" customHeight="1" x14ac:dyDescent="0.3">
      <c r="B57" s="1139"/>
      <c r="C57" s="1140"/>
      <c r="D57" s="1141"/>
      <c r="E57" s="1177"/>
      <c r="F57" s="1142"/>
      <c r="G57" s="1142"/>
    </row>
    <row r="58" spans="2:7" ht="15" customHeight="1" x14ac:dyDescent="0.3">
      <c r="B58" s="1129"/>
      <c r="C58" s="1130" t="s">
        <v>807</v>
      </c>
      <c r="D58" s="1131"/>
      <c r="E58" s="1179" t="s">
        <v>710</v>
      </c>
      <c r="F58" s="1133">
        <v>21996</v>
      </c>
      <c r="G58" s="1133">
        <v>30510</v>
      </c>
    </row>
    <row r="59" spans="2:7" ht="18.75" x14ac:dyDescent="0.3">
      <c r="B59" s="1129"/>
      <c r="C59" s="1130"/>
      <c r="D59" s="1131"/>
      <c r="E59" s="1179" t="s">
        <v>711</v>
      </c>
      <c r="F59" s="1133">
        <v>5170422</v>
      </c>
      <c r="G59" s="1133">
        <v>4673397</v>
      </c>
    </row>
    <row r="60" spans="2:7" ht="30.75" customHeight="1" x14ac:dyDescent="0.3">
      <c r="B60" s="1134" t="s">
        <v>808</v>
      </c>
      <c r="C60" s="2114" t="s">
        <v>809</v>
      </c>
      <c r="D60" s="2115"/>
      <c r="E60" s="1180" t="s">
        <v>713</v>
      </c>
      <c r="F60" s="1138">
        <f>SUM(F58:F59)</f>
        <v>5192418</v>
      </c>
      <c r="G60" s="1138">
        <f>SUM(G58:G59)</f>
        <v>4703907</v>
      </c>
    </row>
    <row r="61" spans="2:7" ht="18.75" x14ac:dyDescent="0.3">
      <c r="B61" s="1129"/>
      <c r="C61" s="1130"/>
      <c r="D61" s="1131"/>
      <c r="E61" s="1179"/>
      <c r="F61" s="1133"/>
      <c r="G61" s="1133"/>
    </row>
    <row r="62" spans="2:7" ht="18.75" x14ac:dyDescent="0.3">
      <c r="B62" s="1129"/>
      <c r="C62" s="1130" t="s">
        <v>810</v>
      </c>
      <c r="D62" s="1131"/>
      <c r="E62" s="1179" t="s">
        <v>710</v>
      </c>
      <c r="F62" s="1133">
        <v>798262</v>
      </c>
      <c r="G62" s="1133">
        <v>958733</v>
      </c>
    </row>
    <row r="63" spans="2:7" ht="18.75" x14ac:dyDescent="0.3">
      <c r="B63" s="1129"/>
      <c r="C63" s="1181"/>
      <c r="D63" s="1131"/>
      <c r="E63" s="1179" t="s">
        <v>711</v>
      </c>
      <c r="F63" s="1133">
        <v>59109</v>
      </c>
      <c r="G63" s="1133">
        <v>162070</v>
      </c>
    </row>
    <row r="64" spans="2:7" ht="19.5" customHeight="1" x14ac:dyDescent="0.3">
      <c r="B64" s="1134" t="s">
        <v>811</v>
      </c>
      <c r="C64" s="1135" t="s">
        <v>810</v>
      </c>
      <c r="D64" s="1136"/>
      <c r="E64" s="1180" t="s">
        <v>713</v>
      </c>
      <c r="F64" s="1138">
        <f>SUM(F62:F63)</f>
        <v>857371</v>
      </c>
      <c r="G64" s="1138">
        <f>SUM(G62:G63)</f>
        <v>1120803</v>
      </c>
    </row>
    <row r="65" spans="2:7" ht="12.75" customHeight="1" x14ac:dyDescent="0.3">
      <c r="B65" s="1129"/>
      <c r="C65" s="1130"/>
      <c r="D65" s="1131"/>
      <c r="E65" s="1179"/>
      <c r="F65" s="1133"/>
      <c r="G65" s="1133"/>
    </row>
    <row r="66" spans="2:7" ht="18.75" x14ac:dyDescent="0.3">
      <c r="B66" s="1129"/>
      <c r="C66" s="1130" t="s">
        <v>812</v>
      </c>
      <c r="D66" s="1131"/>
      <c r="E66" s="1179" t="s">
        <v>710</v>
      </c>
      <c r="F66" s="1133">
        <v>3699</v>
      </c>
      <c r="G66" s="1133">
        <v>3622</v>
      </c>
    </row>
    <row r="67" spans="2:7" ht="18.75" x14ac:dyDescent="0.3">
      <c r="B67" s="1129"/>
      <c r="C67" s="1130"/>
      <c r="D67" s="1131"/>
      <c r="E67" s="1179" t="s">
        <v>711</v>
      </c>
      <c r="F67" s="1133">
        <v>20475815</v>
      </c>
      <c r="G67" s="1133">
        <v>18141014</v>
      </c>
    </row>
    <row r="68" spans="2:7" ht="16.5" customHeight="1" x14ac:dyDescent="0.3">
      <c r="B68" s="1134" t="s">
        <v>813</v>
      </c>
      <c r="C68" s="1135" t="s">
        <v>812</v>
      </c>
      <c r="D68" s="1136"/>
      <c r="E68" s="1180" t="s">
        <v>713</v>
      </c>
      <c r="F68" s="1138">
        <f>SUM(F66:F67)</f>
        <v>20479514</v>
      </c>
      <c r="G68" s="1138">
        <f>SUM(G66:G67)</f>
        <v>18144636</v>
      </c>
    </row>
    <row r="69" spans="2:7" ht="18.75" x14ac:dyDescent="0.3">
      <c r="B69" s="1129"/>
      <c r="C69" s="1130"/>
      <c r="D69" s="1131"/>
      <c r="E69" s="1179"/>
      <c r="F69" s="1133"/>
      <c r="G69" s="1133"/>
    </row>
    <row r="70" spans="2:7" ht="15" customHeight="1" x14ac:dyDescent="0.3">
      <c r="B70" s="1129"/>
      <c r="C70" s="1130" t="s">
        <v>814</v>
      </c>
      <c r="D70" s="1131"/>
      <c r="E70" s="1179" t="s">
        <v>710</v>
      </c>
      <c r="F70" s="1133">
        <f>+F58+F62+F66</f>
        <v>823957</v>
      </c>
      <c r="G70" s="1133">
        <f>+G58+G62+G66</f>
        <v>992865</v>
      </c>
    </row>
    <row r="71" spans="2:7" ht="19.5" thickBot="1" x14ac:dyDescent="0.35">
      <c r="B71" s="1129"/>
      <c r="C71" s="1130"/>
      <c r="D71" s="1131"/>
      <c r="E71" s="1179" t="s">
        <v>711</v>
      </c>
      <c r="F71" s="1133">
        <f>+F59+F63+F67</f>
        <v>25705346</v>
      </c>
      <c r="G71" s="1133">
        <f>+G59+G63+G67</f>
        <v>22976481</v>
      </c>
    </row>
    <row r="72" spans="2:7" ht="24.75" customHeight="1" thickBot="1" x14ac:dyDescent="0.35">
      <c r="B72" s="1168" t="s">
        <v>815</v>
      </c>
      <c r="C72" s="2117" t="s">
        <v>814</v>
      </c>
      <c r="D72" s="2118"/>
      <c r="E72" s="1182" t="s">
        <v>713</v>
      </c>
      <c r="F72" s="1170">
        <f>SUM(F70:F71)</f>
        <v>26529303</v>
      </c>
      <c r="G72" s="1170">
        <f>SUM(G70:G71)</f>
        <v>23969346</v>
      </c>
    </row>
    <row r="73" spans="2:7" ht="18.75" x14ac:dyDescent="0.3">
      <c r="B73" s="1129"/>
      <c r="C73" s="1130"/>
      <c r="D73" s="1131"/>
      <c r="E73" s="1179"/>
      <c r="F73" s="1133"/>
      <c r="G73" s="1133"/>
    </row>
    <row r="74" spans="2:7" ht="18.75" x14ac:dyDescent="0.3">
      <c r="B74" s="1129"/>
      <c r="C74" s="1140" t="s">
        <v>781</v>
      </c>
      <c r="D74" s="1131"/>
      <c r="E74" s="1179" t="s">
        <v>710</v>
      </c>
      <c r="F74" s="1133">
        <f>+F33+F49+F54+F70</f>
        <v>6728096</v>
      </c>
      <c r="G74" s="1133">
        <f>+G33+G49+G54+G70</f>
        <v>6465865</v>
      </c>
    </row>
    <row r="75" spans="2:7" ht="19.5" thickBot="1" x14ac:dyDescent="0.35">
      <c r="B75" s="1129"/>
      <c r="C75" s="1130"/>
      <c r="D75" s="1131"/>
      <c r="E75" s="1179" t="s">
        <v>711</v>
      </c>
      <c r="F75" s="1133">
        <f>+F34+F50+F55+F71</f>
        <v>97754407</v>
      </c>
      <c r="G75" s="1133">
        <f>+G34+G50+G55+G71</f>
        <v>109291538</v>
      </c>
    </row>
    <row r="76" spans="2:7" ht="24.75" customHeight="1" thickBot="1" x14ac:dyDescent="0.35">
      <c r="B76" s="1168"/>
      <c r="C76" s="2117" t="s">
        <v>816</v>
      </c>
      <c r="D76" s="2118"/>
      <c r="E76" s="1182" t="s">
        <v>713</v>
      </c>
      <c r="F76" s="1170">
        <f>SUM(F74:F75)</f>
        <v>104482503</v>
      </c>
      <c r="G76" s="1170">
        <f>SUM(G74:G75)</f>
        <v>115757403</v>
      </c>
    </row>
    <row r="77" spans="2:7" ht="12.75" customHeight="1" x14ac:dyDescent="0.25">
      <c r="B77" s="1183"/>
      <c r="C77" s="1184"/>
      <c r="D77" s="1184"/>
      <c r="E77" s="1184"/>
      <c r="F77" s="1184"/>
      <c r="G77" s="1184"/>
    </row>
    <row r="78" spans="2:7" ht="18" x14ac:dyDescent="0.25">
      <c r="B78" s="1183"/>
      <c r="C78" s="1184"/>
      <c r="D78" s="1184"/>
      <c r="E78" s="1184"/>
      <c r="F78" s="1185"/>
      <c r="G78" s="1185"/>
    </row>
    <row r="79" spans="2:7" ht="18" x14ac:dyDescent="0.25">
      <c r="B79" s="1183"/>
      <c r="C79" s="1184"/>
      <c r="D79" s="1184"/>
      <c r="E79" s="1184"/>
      <c r="F79" s="1185"/>
      <c r="G79" s="1185"/>
    </row>
    <row r="82" spans="8:8" ht="15" customHeight="1" x14ac:dyDescent="0.2"/>
    <row r="83" spans="8:8" ht="12" customHeight="1" x14ac:dyDescent="0.2"/>
    <row r="84" spans="8:8" x14ac:dyDescent="0.2">
      <c r="H84" s="589"/>
    </row>
    <row r="85" spans="8:8" x14ac:dyDescent="0.2">
      <c r="H85" s="589"/>
    </row>
    <row r="86" spans="8:8" x14ac:dyDescent="0.2">
      <c r="H86" s="589"/>
    </row>
    <row r="88" spans="8:8" ht="21" customHeight="1" x14ac:dyDescent="0.2"/>
  </sheetData>
  <mergeCells count="9">
    <mergeCell ref="C60:D60"/>
    <mergeCell ref="C72:D72"/>
    <mergeCell ref="C76:D76"/>
    <mergeCell ref="B2:G2"/>
    <mergeCell ref="B3:G3"/>
    <mergeCell ref="C5:D5"/>
    <mergeCell ref="C35:D35"/>
    <mergeCell ref="C51:D51"/>
    <mergeCell ref="C56:D56"/>
  </mergeCells>
  <printOptions horizontalCentered="1" verticalCentered="1"/>
  <pageMargins left="0.19685039370078741" right="0.19685039370078741" top="0.39370078740157483" bottom="0.35433070866141736" header="0.15748031496062992" footer="0.31496062992125984"/>
  <pageSetup paperSize="9" scale="60" orientation="portrait" r:id="rId1"/>
  <headerFooter alignWithMargins="0">
    <oddHeader>&amp;R&amp;"Arial CE,Félkövér"&amp;13 &amp;"-,Félkövér"&amp;11 24. melléklet a 13/2023. (V.26.)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996CB-F1D6-4B62-AC0B-3794F770416B}">
  <dimension ref="B3:I232"/>
  <sheetViews>
    <sheetView view="pageLayout" topLeftCell="A71" zoomScaleNormal="75" workbookViewId="0">
      <selection activeCell="C134" sqref="C134"/>
    </sheetView>
  </sheetViews>
  <sheetFormatPr defaultColWidth="12" defaultRowHeight="15" x14ac:dyDescent="0.2"/>
  <cols>
    <col min="1" max="1" width="5.33203125" style="590" customWidth="1"/>
    <col min="2" max="2" width="47.83203125" style="590" customWidth="1"/>
    <col min="3" max="3" width="25.33203125" style="593" customWidth="1"/>
    <col min="4" max="4" width="67" style="590" customWidth="1"/>
    <col min="5" max="5" width="25.33203125" style="593" customWidth="1"/>
    <col min="6" max="6" width="25.33203125" style="590" customWidth="1"/>
    <col min="7" max="8" width="12" style="590"/>
    <col min="9" max="9" width="12" style="590" customWidth="1"/>
    <col min="10" max="16384" width="12" style="590"/>
  </cols>
  <sheetData>
    <row r="3" spans="2:6" ht="18.75" customHeight="1" x14ac:dyDescent="0.3">
      <c r="B3" s="2127" t="s">
        <v>665</v>
      </c>
      <c r="C3" s="2127"/>
      <c r="D3" s="2127"/>
      <c r="E3" s="2127"/>
      <c r="F3" s="2127"/>
    </row>
    <row r="4" spans="2:6" ht="24" customHeight="1" x14ac:dyDescent="0.3">
      <c r="B4" s="2128" t="s">
        <v>1197</v>
      </c>
      <c r="C4" s="2128"/>
      <c r="D4" s="2128"/>
      <c r="E4" s="2128"/>
      <c r="F4" s="2128"/>
    </row>
    <row r="5" spans="2:6" s="591" customFormat="1" ht="24" customHeight="1" x14ac:dyDescent="0.3">
      <c r="B5" s="2129" t="s">
        <v>817</v>
      </c>
      <c r="C5" s="2129"/>
      <c r="D5" s="2129"/>
      <c r="E5" s="2129"/>
      <c r="F5" s="2129"/>
    </row>
    <row r="6" spans="2:6" ht="18.75" x14ac:dyDescent="0.3">
      <c r="B6" s="2129" t="s">
        <v>818</v>
      </c>
      <c r="C6" s="2129"/>
      <c r="D6" s="2129"/>
      <c r="E6" s="2129"/>
      <c r="F6" s="2129"/>
    </row>
    <row r="7" spans="2:6" ht="18.75" x14ac:dyDescent="0.3">
      <c r="B7" s="2129" t="s">
        <v>819</v>
      </c>
      <c r="C7" s="2129"/>
      <c r="D7" s="2129"/>
      <c r="E7" s="2129"/>
      <c r="F7" s="2129"/>
    </row>
    <row r="8" spans="2:6" ht="19.5" thickBot="1" x14ac:dyDescent="0.35">
      <c r="B8" s="2126" t="s">
        <v>820</v>
      </c>
      <c r="C8" s="2126"/>
      <c r="D8" s="2126"/>
      <c r="E8" s="2126"/>
      <c r="F8" s="2126"/>
    </row>
    <row r="9" spans="2:6" ht="42" customHeight="1" thickBot="1" x14ac:dyDescent="0.35">
      <c r="B9" s="1186" t="s">
        <v>821</v>
      </c>
      <c r="C9" s="1187" t="s">
        <v>822</v>
      </c>
      <c r="D9" s="1188" t="s">
        <v>823</v>
      </c>
      <c r="E9" s="1189" t="s">
        <v>824</v>
      </c>
      <c r="F9" s="1190" t="s">
        <v>825</v>
      </c>
    </row>
    <row r="10" spans="2:6" ht="24.75" customHeight="1" x14ac:dyDescent="0.3">
      <c r="B10" s="1191" t="s">
        <v>826</v>
      </c>
      <c r="C10" s="1192"/>
      <c r="D10" s="1193"/>
      <c r="E10" s="1194"/>
      <c r="F10" s="1195"/>
    </row>
    <row r="11" spans="2:6" ht="18.75" x14ac:dyDescent="0.3">
      <c r="B11" s="1196" t="s">
        <v>827</v>
      </c>
      <c r="C11" s="1197">
        <v>50846</v>
      </c>
      <c r="D11" s="1198" t="s">
        <v>828</v>
      </c>
      <c r="E11" s="1199">
        <v>28873</v>
      </c>
      <c r="F11" s="1195"/>
    </row>
    <row r="12" spans="2:6" ht="18.75" x14ac:dyDescent="0.3">
      <c r="B12" s="1196"/>
      <c r="C12" s="1197"/>
      <c r="D12" s="1198" t="s">
        <v>829</v>
      </c>
      <c r="E12" s="1199">
        <v>14078</v>
      </c>
      <c r="F12" s="1195"/>
    </row>
    <row r="13" spans="2:6" ht="18.75" x14ac:dyDescent="0.3">
      <c r="B13" s="1196"/>
      <c r="C13" s="1197"/>
      <c r="D13" s="1198" t="s">
        <v>830</v>
      </c>
      <c r="E13" s="1199">
        <v>4524</v>
      </c>
      <c r="F13" s="1195"/>
    </row>
    <row r="14" spans="2:6" ht="18.75" x14ac:dyDescent="0.3">
      <c r="B14" s="1196"/>
      <c r="C14" s="1200"/>
      <c r="D14" s="1198" t="s">
        <v>831</v>
      </c>
      <c r="E14" s="1199">
        <v>1135</v>
      </c>
      <c r="F14" s="1195"/>
    </row>
    <row r="15" spans="2:6" ht="18.75" x14ac:dyDescent="0.3">
      <c r="B15" s="1196"/>
      <c r="C15" s="1200"/>
      <c r="D15" s="1198" t="s">
        <v>832</v>
      </c>
      <c r="E15" s="1199">
        <v>1500</v>
      </c>
      <c r="F15" s="1195"/>
    </row>
    <row r="16" spans="2:6" ht="18.75" x14ac:dyDescent="0.3">
      <c r="B16" s="1196"/>
      <c r="C16" s="1197"/>
      <c r="D16" s="1198" t="s">
        <v>833</v>
      </c>
      <c r="E16" s="1199">
        <v>736</v>
      </c>
      <c r="F16" s="1195"/>
    </row>
    <row r="17" spans="2:9" s="591" customFormat="1" ht="23.25" customHeight="1" thickBot="1" x14ac:dyDescent="0.35">
      <c r="B17" s="1201"/>
      <c r="C17" s="1202">
        <f>SUM(C11:C16)</f>
        <v>50846</v>
      </c>
      <c r="D17" s="1203"/>
      <c r="E17" s="1204">
        <f>SUM(E11:E16)</f>
        <v>50846</v>
      </c>
      <c r="F17" s="1205">
        <f>C17-E17</f>
        <v>0</v>
      </c>
    </row>
    <row r="18" spans="2:9" s="591" customFormat="1" ht="19.5" customHeight="1" x14ac:dyDescent="0.3">
      <c r="B18" s="1191" t="s">
        <v>834</v>
      </c>
      <c r="C18" s="1200"/>
      <c r="D18" s="1193"/>
      <c r="E18" s="1194"/>
      <c r="F18" s="1206"/>
      <c r="I18" s="590"/>
    </row>
    <row r="19" spans="2:9" ht="18.75" x14ac:dyDescent="0.3">
      <c r="B19" s="1196" t="s">
        <v>835</v>
      </c>
      <c r="C19" s="1197">
        <v>488825</v>
      </c>
      <c r="D19" s="1198" t="s">
        <v>836</v>
      </c>
      <c r="E19" s="1199">
        <v>32035</v>
      </c>
      <c r="F19" s="1195"/>
    </row>
    <row r="20" spans="2:9" ht="18.75" x14ac:dyDescent="0.3">
      <c r="B20" s="1196" t="s">
        <v>57</v>
      </c>
      <c r="C20" s="1200"/>
      <c r="D20" s="1198" t="s">
        <v>837</v>
      </c>
      <c r="E20" s="1199">
        <v>4070</v>
      </c>
      <c r="F20" s="1195"/>
      <c r="I20" s="590" t="s">
        <v>57</v>
      </c>
    </row>
    <row r="21" spans="2:9" ht="18.75" x14ac:dyDescent="0.3">
      <c r="B21" s="1196" t="s">
        <v>57</v>
      </c>
      <c r="C21" s="1200" t="s">
        <v>57</v>
      </c>
      <c r="D21" s="1198" t="s">
        <v>838</v>
      </c>
      <c r="E21" s="1199">
        <v>47933</v>
      </c>
      <c r="F21" s="1195"/>
    </row>
    <row r="22" spans="2:9" ht="18.75" x14ac:dyDescent="0.3">
      <c r="B22" s="1196"/>
      <c r="C22" s="1197"/>
      <c r="D22" s="1198" t="s">
        <v>839</v>
      </c>
      <c r="E22" s="1199">
        <v>1982</v>
      </c>
      <c r="F22" s="1195"/>
    </row>
    <row r="23" spans="2:9" ht="18.75" x14ac:dyDescent="0.3">
      <c r="B23" s="1196"/>
      <c r="C23" s="1197"/>
      <c r="D23" s="1198" t="s">
        <v>840</v>
      </c>
      <c r="E23" s="1199">
        <v>6481</v>
      </c>
      <c r="F23" s="1195"/>
    </row>
    <row r="24" spans="2:9" ht="18.75" x14ac:dyDescent="0.3">
      <c r="B24" s="1196"/>
      <c r="C24" s="1200"/>
      <c r="D24" s="1198" t="s">
        <v>841</v>
      </c>
      <c r="E24" s="1199">
        <v>6222</v>
      </c>
      <c r="F24" s="1195"/>
    </row>
    <row r="25" spans="2:9" ht="18.75" x14ac:dyDescent="0.3">
      <c r="B25" s="1196"/>
      <c r="C25" s="1197"/>
      <c r="D25" s="1198" t="s">
        <v>842</v>
      </c>
      <c r="E25" s="1199">
        <v>9089</v>
      </c>
      <c r="F25" s="1195"/>
    </row>
    <row r="26" spans="2:9" ht="18.75" x14ac:dyDescent="0.3">
      <c r="B26" s="1196"/>
      <c r="C26" s="1200"/>
      <c r="D26" s="1198" t="s">
        <v>843</v>
      </c>
      <c r="E26" s="1199">
        <v>538</v>
      </c>
      <c r="F26" s="1195"/>
    </row>
    <row r="27" spans="2:9" ht="18.75" x14ac:dyDescent="0.3">
      <c r="B27" s="1196"/>
      <c r="C27" s="1200"/>
      <c r="D27" s="1198" t="s">
        <v>844</v>
      </c>
      <c r="E27" s="1199">
        <v>729</v>
      </c>
      <c r="F27" s="1195"/>
    </row>
    <row r="28" spans="2:9" ht="18.75" x14ac:dyDescent="0.3">
      <c r="B28" s="1196"/>
      <c r="C28" s="1200"/>
      <c r="D28" s="1198" t="s">
        <v>845</v>
      </c>
      <c r="E28" s="1199">
        <f>450+21863</f>
        <v>22313</v>
      </c>
      <c r="F28" s="1195"/>
    </row>
    <row r="29" spans="2:9" ht="18.75" x14ac:dyDescent="0.3">
      <c r="B29" s="1196"/>
      <c r="C29" s="1200"/>
      <c r="D29" s="1198" t="s">
        <v>846</v>
      </c>
      <c r="E29" s="1199">
        <v>22728</v>
      </c>
      <c r="F29" s="1195"/>
    </row>
    <row r="30" spans="2:9" ht="18.75" x14ac:dyDescent="0.3">
      <c r="B30" s="1196"/>
      <c r="C30" s="1200"/>
      <c r="D30" s="1198" t="s">
        <v>847</v>
      </c>
      <c r="E30" s="1199">
        <v>17603</v>
      </c>
      <c r="F30" s="1195"/>
    </row>
    <row r="31" spans="2:9" ht="18.75" x14ac:dyDescent="0.3">
      <c r="B31" s="1196"/>
      <c r="C31" s="1197"/>
      <c r="D31" s="1198" t="s">
        <v>848</v>
      </c>
      <c r="E31" s="1199">
        <v>1126</v>
      </c>
      <c r="F31" s="1195"/>
    </row>
    <row r="32" spans="2:9" ht="18.75" x14ac:dyDescent="0.3">
      <c r="B32" s="1196"/>
      <c r="C32" s="1197"/>
      <c r="D32" s="1198" t="s">
        <v>849</v>
      </c>
      <c r="E32" s="1199">
        <v>10907</v>
      </c>
      <c r="F32" s="1195"/>
    </row>
    <row r="33" spans="2:7" ht="18.75" x14ac:dyDescent="0.3">
      <c r="B33" s="1196"/>
      <c r="C33" s="1200"/>
      <c r="D33" s="1198" t="s">
        <v>850</v>
      </c>
      <c r="E33" s="1199">
        <v>30809</v>
      </c>
      <c r="F33" s="1195"/>
    </row>
    <row r="34" spans="2:7" s="591" customFormat="1" ht="24.75" customHeight="1" thickBot="1" x14ac:dyDescent="0.35">
      <c r="B34" s="1201"/>
      <c r="C34" s="1202">
        <f>SUM(C19:C31)</f>
        <v>488825</v>
      </c>
      <c r="D34" s="1203"/>
      <c r="E34" s="1204">
        <f>SUM(E19:E33)</f>
        <v>214565</v>
      </c>
      <c r="F34" s="1205">
        <f>C34-E34</f>
        <v>274260</v>
      </c>
      <c r="G34" s="591" t="s">
        <v>57</v>
      </c>
    </row>
    <row r="35" spans="2:7" ht="18.75" customHeight="1" x14ac:dyDescent="0.3">
      <c r="B35" s="1191" t="s">
        <v>851</v>
      </c>
      <c r="C35" s="1207"/>
      <c r="D35" s="1198"/>
      <c r="E35" s="1199"/>
      <c r="F35" s="1208"/>
    </row>
    <row r="36" spans="2:7" ht="18.75" x14ac:dyDescent="0.3">
      <c r="B36" s="1196" t="s">
        <v>852</v>
      </c>
      <c r="C36" s="1197">
        <v>493187</v>
      </c>
      <c r="D36" s="1198" t="s">
        <v>853</v>
      </c>
      <c r="E36" s="1199">
        <v>9851</v>
      </c>
      <c r="F36" s="1195"/>
      <c r="G36" s="590" t="s">
        <v>57</v>
      </c>
    </row>
    <row r="37" spans="2:7" ht="18.75" x14ac:dyDescent="0.3">
      <c r="B37" s="1196" t="s">
        <v>854</v>
      </c>
      <c r="C37" s="1197">
        <v>-28127</v>
      </c>
      <c r="D37" s="1198" t="s">
        <v>855</v>
      </c>
      <c r="E37" s="1199">
        <v>19307</v>
      </c>
      <c r="F37" s="1195"/>
    </row>
    <row r="38" spans="2:7" ht="18.75" x14ac:dyDescent="0.3">
      <c r="B38" s="1196" t="s">
        <v>57</v>
      </c>
      <c r="C38" s="1200" t="s">
        <v>57</v>
      </c>
      <c r="D38" s="1198" t="s">
        <v>856</v>
      </c>
      <c r="E38" s="1199">
        <v>15266</v>
      </c>
      <c r="F38" s="1195"/>
      <c r="G38" s="590" t="s">
        <v>57</v>
      </c>
    </row>
    <row r="39" spans="2:7" ht="18.75" x14ac:dyDescent="0.3">
      <c r="B39" s="1196"/>
      <c r="C39" s="1200"/>
      <c r="D39" s="1198" t="s">
        <v>857</v>
      </c>
      <c r="E39" s="1199">
        <v>30965</v>
      </c>
      <c r="F39" s="1195"/>
      <c r="G39" s="593" t="s">
        <v>57</v>
      </c>
    </row>
    <row r="40" spans="2:7" ht="18.75" x14ac:dyDescent="0.3">
      <c r="B40" s="1196"/>
      <c r="C40" s="1200"/>
      <c r="D40" s="1198" t="s">
        <v>841</v>
      </c>
      <c r="E40" s="1199">
        <v>113</v>
      </c>
      <c r="F40" s="1195"/>
    </row>
    <row r="41" spans="2:7" ht="18.75" x14ac:dyDescent="0.3">
      <c r="B41" s="1196"/>
      <c r="C41" s="1200"/>
      <c r="D41" s="1198" t="s">
        <v>858</v>
      </c>
      <c r="E41" s="1199">
        <f>18500+69022</f>
        <v>87522</v>
      </c>
      <c r="F41" s="1195"/>
    </row>
    <row r="42" spans="2:7" ht="18.75" x14ac:dyDescent="0.3">
      <c r="B42" s="1196"/>
      <c r="C42" s="1200"/>
      <c r="D42" s="1198" t="s">
        <v>859</v>
      </c>
      <c r="E42" s="1199">
        <f>26681+18717</f>
        <v>45398</v>
      </c>
      <c r="F42" s="1195"/>
    </row>
    <row r="43" spans="2:7" ht="18.75" x14ac:dyDescent="0.3">
      <c r="B43" s="1196"/>
      <c r="C43" s="1200"/>
      <c r="D43" s="1198" t="s">
        <v>845</v>
      </c>
      <c r="E43" s="1199">
        <f>200+41364+3500</f>
        <v>45064</v>
      </c>
      <c r="F43" s="1195"/>
    </row>
    <row r="44" spans="2:7" ht="18.75" x14ac:dyDescent="0.3">
      <c r="B44" s="1196"/>
      <c r="C44" s="1200"/>
      <c r="D44" s="1198" t="s">
        <v>846</v>
      </c>
      <c r="E44" s="1199">
        <v>44264</v>
      </c>
      <c r="F44" s="1195"/>
    </row>
    <row r="45" spans="2:7" ht="18.75" x14ac:dyDescent="0.3">
      <c r="B45" s="1196"/>
      <c r="C45" s="1200"/>
      <c r="D45" s="1198" t="s">
        <v>860</v>
      </c>
      <c r="E45" s="1199">
        <f>24875+383+1163</f>
        <v>26421</v>
      </c>
      <c r="F45" s="1195"/>
    </row>
    <row r="46" spans="2:7" ht="18.75" x14ac:dyDescent="0.3">
      <c r="B46" s="1196"/>
      <c r="C46" s="1200"/>
      <c r="D46" s="1198" t="s">
        <v>861</v>
      </c>
      <c r="E46" s="1199">
        <v>960</v>
      </c>
      <c r="F46" s="1195"/>
    </row>
    <row r="47" spans="2:7" ht="18.75" x14ac:dyDescent="0.3">
      <c r="B47" s="1196"/>
      <c r="C47" s="1200"/>
      <c r="D47" s="1198" t="s">
        <v>862</v>
      </c>
      <c r="E47" s="1199">
        <v>4527</v>
      </c>
      <c r="F47" s="1195"/>
    </row>
    <row r="48" spans="2:7" s="591" customFormat="1" ht="21.75" customHeight="1" thickBot="1" x14ac:dyDescent="0.35">
      <c r="B48" s="1201"/>
      <c r="C48" s="1202">
        <f>SUM(C36:C47)</f>
        <v>465060</v>
      </c>
      <c r="D48" s="1203"/>
      <c r="E48" s="1204">
        <f>SUM(E36:E47)</f>
        <v>329658</v>
      </c>
      <c r="F48" s="1205">
        <f>F34+C48-E48</f>
        <v>409662</v>
      </c>
      <c r="G48" s="592" t="s">
        <v>57</v>
      </c>
    </row>
    <row r="49" spans="2:7" ht="15.95" customHeight="1" x14ac:dyDescent="0.3">
      <c r="B49" s="1191" t="s">
        <v>863</v>
      </c>
      <c r="C49" s="1199"/>
      <c r="D49" s="1209" t="s">
        <v>864</v>
      </c>
      <c r="E49" s="1199">
        <v>133269</v>
      </c>
      <c r="F49" s="1195"/>
      <c r="G49" s="590" t="s">
        <v>57</v>
      </c>
    </row>
    <row r="50" spans="2:7" ht="15.95" customHeight="1" x14ac:dyDescent="0.3">
      <c r="B50" s="1196" t="s">
        <v>852</v>
      </c>
      <c r="C50" s="1197">
        <v>193170</v>
      </c>
      <c r="D50" s="1198" t="s">
        <v>865</v>
      </c>
      <c r="E50" s="1199">
        <v>525</v>
      </c>
      <c r="F50" s="1195"/>
      <c r="G50" s="593" t="s">
        <v>57</v>
      </c>
    </row>
    <row r="51" spans="2:7" ht="15.95" customHeight="1" x14ac:dyDescent="0.3">
      <c r="B51" s="1196" t="s">
        <v>854</v>
      </c>
      <c r="C51" s="1197">
        <v>-4770</v>
      </c>
      <c r="D51" s="1198" t="s">
        <v>866</v>
      </c>
      <c r="E51" s="1199">
        <v>140734</v>
      </c>
      <c r="F51" s="1195"/>
    </row>
    <row r="52" spans="2:7" ht="15.95" customHeight="1" x14ac:dyDescent="0.3">
      <c r="B52" s="1196"/>
      <c r="C52" s="1200"/>
      <c r="D52" s="1198" t="s">
        <v>867</v>
      </c>
      <c r="E52" s="1199">
        <v>406</v>
      </c>
      <c r="F52" s="1195"/>
    </row>
    <row r="53" spans="2:7" ht="15.95" customHeight="1" x14ac:dyDescent="0.3">
      <c r="B53" s="1196" t="s">
        <v>868</v>
      </c>
      <c r="C53" s="1197">
        <v>5312</v>
      </c>
      <c r="D53" s="1198" t="s">
        <v>869</v>
      </c>
      <c r="E53" s="1199">
        <v>375</v>
      </c>
      <c r="F53" s="1195"/>
    </row>
    <row r="54" spans="2:7" ht="15.95" customHeight="1" x14ac:dyDescent="0.3">
      <c r="B54" s="1196"/>
      <c r="C54" s="1200"/>
      <c r="D54" s="1198" t="s">
        <v>870</v>
      </c>
      <c r="E54" s="1199">
        <f>10759+332</f>
        <v>11091</v>
      </c>
      <c r="F54" s="1195"/>
    </row>
    <row r="55" spans="2:7" ht="15.95" customHeight="1" x14ac:dyDescent="0.3">
      <c r="B55" s="1196"/>
      <c r="C55" s="1200"/>
      <c r="D55" s="1198" t="s">
        <v>871</v>
      </c>
      <c r="E55" s="1199">
        <v>4187</v>
      </c>
      <c r="F55" s="1195"/>
    </row>
    <row r="56" spans="2:7" ht="15.95" customHeight="1" x14ac:dyDescent="0.3">
      <c r="B56" s="1196"/>
      <c r="C56" s="1200"/>
      <c r="D56" s="1198" t="s">
        <v>872</v>
      </c>
      <c r="E56" s="1199">
        <v>128635</v>
      </c>
      <c r="F56" s="1195"/>
    </row>
    <row r="57" spans="2:7" ht="20.100000000000001" customHeight="1" thickBot="1" x14ac:dyDescent="0.35">
      <c r="B57" s="1201"/>
      <c r="C57" s="1202">
        <f>SUM(C50:C56)</f>
        <v>193712</v>
      </c>
      <c r="D57" s="1203"/>
      <c r="E57" s="1204">
        <f>SUM(E49:E56)</f>
        <v>419222</v>
      </c>
      <c r="F57" s="1205">
        <f>F48+C57-E57</f>
        <v>184152</v>
      </c>
    </row>
    <row r="58" spans="2:7" ht="15.95" customHeight="1" x14ac:dyDescent="0.3">
      <c r="B58" s="1191" t="s">
        <v>873</v>
      </c>
      <c r="C58" s="1199"/>
      <c r="D58" s="1209" t="s">
        <v>874</v>
      </c>
      <c r="E58" s="1199">
        <v>4152</v>
      </c>
      <c r="F58" s="1208" t="s">
        <v>57</v>
      </c>
    </row>
    <row r="59" spans="2:7" ht="15.95" customHeight="1" x14ac:dyDescent="0.3">
      <c r="B59" s="1196" t="s">
        <v>852</v>
      </c>
      <c r="C59" s="1210">
        <v>200124</v>
      </c>
      <c r="D59" s="1198" t="s">
        <v>875</v>
      </c>
      <c r="E59" s="1199">
        <v>1408</v>
      </c>
      <c r="F59" s="1195"/>
    </row>
    <row r="60" spans="2:7" ht="15.95" customHeight="1" x14ac:dyDescent="0.3">
      <c r="B60" s="1196" t="s">
        <v>854</v>
      </c>
      <c r="C60" s="1210">
        <v>-345</v>
      </c>
      <c r="D60" s="1198" t="s">
        <v>866</v>
      </c>
      <c r="E60" s="1199">
        <v>65692</v>
      </c>
      <c r="F60" s="1195"/>
    </row>
    <row r="61" spans="2:7" ht="15.95" customHeight="1" x14ac:dyDescent="0.3">
      <c r="B61" s="1196" t="s">
        <v>57</v>
      </c>
      <c r="C61" s="1210"/>
      <c r="D61" s="1198" t="s">
        <v>876</v>
      </c>
      <c r="E61" s="1199">
        <v>14958</v>
      </c>
      <c r="F61" s="1195"/>
    </row>
    <row r="62" spans="2:7" ht="15.95" customHeight="1" x14ac:dyDescent="0.3">
      <c r="B62" s="1211" t="s">
        <v>868</v>
      </c>
      <c r="C62" s="1210">
        <v>5731</v>
      </c>
      <c r="D62" s="1198" t="s">
        <v>877</v>
      </c>
      <c r="E62" s="1199">
        <v>12874</v>
      </c>
      <c r="F62" s="1195"/>
    </row>
    <row r="63" spans="2:7" ht="15.95" customHeight="1" x14ac:dyDescent="0.3">
      <c r="B63" s="1196" t="s">
        <v>57</v>
      </c>
      <c r="C63" s="1210"/>
      <c r="D63" s="1198" t="s">
        <v>878</v>
      </c>
      <c r="E63" s="1199">
        <v>20264</v>
      </c>
      <c r="F63" s="1195"/>
    </row>
    <row r="64" spans="2:7" ht="15.95" customHeight="1" x14ac:dyDescent="0.3">
      <c r="B64" s="1196"/>
      <c r="C64" s="1210"/>
      <c r="D64" s="1198" t="s">
        <v>879</v>
      </c>
      <c r="E64" s="1199">
        <v>66482</v>
      </c>
      <c r="F64" s="1195"/>
    </row>
    <row r="65" spans="2:7" ht="20.100000000000001" customHeight="1" thickBot="1" x14ac:dyDescent="0.35">
      <c r="B65" s="1201"/>
      <c r="C65" s="1212">
        <f>SUM(C58:C64)</f>
        <v>205510</v>
      </c>
      <c r="D65" s="1203"/>
      <c r="E65" s="1204">
        <f>SUM(E58:E64)</f>
        <v>185830</v>
      </c>
      <c r="F65" s="1205">
        <f>F57+C65-E65</f>
        <v>203832</v>
      </c>
    </row>
    <row r="66" spans="2:7" ht="15.95" customHeight="1" x14ac:dyDescent="0.3">
      <c r="B66" s="1191" t="s">
        <v>880</v>
      </c>
      <c r="C66" s="1213"/>
      <c r="D66" s="1209" t="s">
        <v>879</v>
      </c>
      <c r="E66" s="1199">
        <f>44950+117070</f>
        <v>162020</v>
      </c>
      <c r="F66" s="1195"/>
    </row>
    <row r="67" spans="2:7" ht="15.95" customHeight="1" x14ac:dyDescent="0.3">
      <c r="B67" s="1196" t="s">
        <v>881</v>
      </c>
      <c r="C67" s="1210">
        <v>141152</v>
      </c>
      <c r="D67" s="1198" t="s">
        <v>866</v>
      </c>
      <c r="E67" s="1199">
        <v>66926</v>
      </c>
      <c r="F67" s="1195"/>
    </row>
    <row r="68" spans="2:7" ht="15.95" customHeight="1" x14ac:dyDescent="0.3">
      <c r="B68" s="1196" t="s">
        <v>882</v>
      </c>
      <c r="C68" s="1210">
        <v>93279</v>
      </c>
      <c r="D68" s="1198" t="s">
        <v>883</v>
      </c>
      <c r="E68" s="1199">
        <v>17229</v>
      </c>
      <c r="F68" s="1195"/>
    </row>
    <row r="69" spans="2:7" ht="15.95" customHeight="1" x14ac:dyDescent="0.3">
      <c r="B69" s="1196"/>
      <c r="C69" s="1210"/>
      <c r="D69" s="1198" t="s">
        <v>884</v>
      </c>
      <c r="E69" s="1199">
        <f>4000+842+8600+169+10926</f>
        <v>24537</v>
      </c>
      <c r="F69" s="1195"/>
    </row>
    <row r="70" spans="2:7" ht="20.100000000000001" customHeight="1" thickBot="1" x14ac:dyDescent="0.35">
      <c r="B70" s="1201"/>
      <c r="C70" s="1212">
        <f>SUM(C67:C69)</f>
        <v>234431</v>
      </c>
      <c r="D70" s="1203"/>
      <c r="E70" s="1204">
        <f>SUM(E66:E69)</f>
        <v>270712</v>
      </c>
      <c r="F70" s="1205">
        <f>F65+C70-E70</f>
        <v>167551</v>
      </c>
    </row>
    <row r="71" spans="2:7" s="591" customFormat="1" ht="37.5" customHeight="1" thickBot="1" x14ac:dyDescent="0.35">
      <c r="B71" s="1186" t="s">
        <v>821</v>
      </c>
      <c r="C71" s="1187" t="s">
        <v>822</v>
      </c>
      <c r="D71" s="1188" t="s">
        <v>823</v>
      </c>
      <c r="E71" s="1189" t="s">
        <v>824</v>
      </c>
      <c r="F71" s="1190" t="s">
        <v>825</v>
      </c>
      <c r="G71" s="592"/>
    </row>
    <row r="72" spans="2:7" ht="15.95" customHeight="1" x14ac:dyDescent="0.3">
      <c r="B72" s="1214" t="s">
        <v>885</v>
      </c>
      <c r="C72" s="1215"/>
      <c r="D72" s="1216" t="s">
        <v>879</v>
      </c>
      <c r="E72" s="1217">
        <v>139680</v>
      </c>
      <c r="F72" s="1218"/>
    </row>
    <row r="73" spans="2:7" ht="15.95" customHeight="1" x14ac:dyDescent="0.3">
      <c r="B73" s="1196" t="s">
        <v>881</v>
      </c>
      <c r="C73" s="1210">
        <v>133061</v>
      </c>
      <c r="D73" s="1198" t="s">
        <v>886</v>
      </c>
      <c r="E73" s="1199">
        <v>1612</v>
      </c>
      <c r="F73" s="1195"/>
    </row>
    <row r="74" spans="2:7" ht="15.95" customHeight="1" x14ac:dyDescent="0.3">
      <c r="B74" s="1196"/>
      <c r="C74" s="1210"/>
      <c r="D74" s="1198" t="s">
        <v>866</v>
      </c>
      <c r="E74" s="1199">
        <f>14300+69001</f>
        <v>83301</v>
      </c>
      <c r="F74" s="1195"/>
    </row>
    <row r="75" spans="2:7" ht="15.95" customHeight="1" x14ac:dyDescent="0.3">
      <c r="B75" s="1196" t="s">
        <v>882</v>
      </c>
      <c r="C75" s="1210">
        <v>116625</v>
      </c>
      <c r="D75" s="1198" t="s">
        <v>883</v>
      </c>
      <c r="E75" s="1199">
        <v>14221</v>
      </c>
      <c r="F75" s="1195"/>
    </row>
    <row r="76" spans="2:7" ht="18.75" x14ac:dyDescent="0.3">
      <c r="B76" s="1196"/>
      <c r="C76" s="1210"/>
      <c r="D76" s="1198" t="s">
        <v>884</v>
      </c>
      <c r="E76" s="1199">
        <v>9144</v>
      </c>
      <c r="F76" s="1195"/>
    </row>
    <row r="77" spans="2:7" ht="20.100000000000001" customHeight="1" thickBot="1" x14ac:dyDescent="0.35">
      <c r="B77" s="1201"/>
      <c r="C77" s="1212">
        <f>SUM(C73:C76)</f>
        <v>249686</v>
      </c>
      <c r="D77" s="1203"/>
      <c r="E77" s="1204">
        <f>SUM(E72:E76)</f>
        <v>247958</v>
      </c>
      <c r="F77" s="1205">
        <f>F70+C77-E77</f>
        <v>169279</v>
      </c>
    </row>
    <row r="78" spans="2:7" ht="15.95" customHeight="1" x14ac:dyDescent="0.3">
      <c r="B78" s="1214" t="s">
        <v>887</v>
      </c>
      <c r="C78" s="1215"/>
      <c r="D78" s="1216" t="s">
        <v>879</v>
      </c>
      <c r="E78" s="1217">
        <v>96430</v>
      </c>
      <c r="F78" s="1218"/>
    </row>
    <row r="79" spans="2:7" ht="15.95" customHeight="1" x14ac:dyDescent="0.3">
      <c r="B79" s="1196" t="s">
        <v>881</v>
      </c>
      <c r="C79" s="1210">
        <v>83899</v>
      </c>
      <c r="D79" s="1198" t="s">
        <v>886</v>
      </c>
      <c r="E79" s="1199">
        <v>1263</v>
      </c>
      <c r="F79" s="1195"/>
    </row>
    <row r="80" spans="2:7" ht="15.95" customHeight="1" x14ac:dyDescent="0.3">
      <c r="B80" s="1196"/>
      <c r="C80" s="1210"/>
      <c r="D80" s="1198" t="s">
        <v>888</v>
      </c>
      <c r="E80" s="1199">
        <v>53368</v>
      </c>
      <c r="F80" s="1195"/>
    </row>
    <row r="81" spans="2:6" ht="15.95" customHeight="1" x14ac:dyDescent="0.3">
      <c r="B81" s="1196" t="s">
        <v>882</v>
      </c>
      <c r="C81" s="1210">
        <v>117221</v>
      </c>
      <c r="D81" s="1198" t="s">
        <v>889</v>
      </c>
      <c r="E81" s="1199">
        <v>81240</v>
      </c>
      <c r="F81" s="1195"/>
    </row>
    <row r="82" spans="2:6" ht="15.95" customHeight="1" x14ac:dyDescent="0.3">
      <c r="B82" s="1219"/>
      <c r="C82" s="1210"/>
      <c r="D82" s="1198" t="s">
        <v>883</v>
      </c>
      <c r="E82" s="1199">
        <v>15709</v>
      </c>
      <c r="F82" s="1195"/>
    </row>
    <row r="83" spans="2:6" ht="15.95" customHeight="1" x14ac:dyDescent="0.3">
      <c r="B83" s="1196"/>
      <c r="C83" s="1210"/>
      <c r="D83" s="1198" t="s">
        <v>890</v>
      </c>
      <c r="E83" s="1199">
        <v>5701</v>
      </c>
      <c r="F83" s="1195"/>
    </row>
    <row r="84" spans="2:6" ht="20.100000000000001" customHeight="1" thickBot="1" x14ac:dyDescent="0.35">
      <c r="B84" s="1201"/>
      <c r="C84" s="1212">
        <f>SUM(C79:C83)</f>
        <v>201120</v>
      </c>
      <c r="D84" s="1203"/>
      <c r="E84" s="1204">
        <f>SUM(E78:E83)</f>
        <v>253711</v>
      </c>
      <c r="F84" s="1205">
        <f>F77+C84-E84</f>
        <v>116688</v>
      </c>
    </row>
    <row r="85" spans="2:6" ht="15.95" customHeight="1" x14ac:dyDescent="0.3">
      <c r="B85" s="1214" t="s">
        <v>891</v>
      </c>
      <c r="C85" s="1215"/>
      <c r="D85" s="1216" t="s">
        <v>879</v>
      </c>
      <c r="E85" s="1217">
        <v>107592</v>
      </c>
      <c r="F85" s="1218"/>
    </row>
    <row r="86" spans="2:6" ht="15.95" customHeight="1" x14ac:dyDescent="0.3">
      <c r="B86" s="1196" t="s">
        <v>881</v>
      </c>
      <c r="C86" s="1210">
        <f>47847+375359</f>
        <v>423206</v>
      </c>
      <c r="D86" s="1198" t="s">
        <v>886</v>
      </c>
      <c r="E86" s="1199">
        <v>1085</v>
      </c>
      <c r="F86" s="1195"/>
    </row>
    <row r="87" spans="2:6" ht="15.95" customHeight="1" x14ac:dyDescent="0.3">
      <c r="B87" s="1196"/>
      <c r="C87" s="1210"/>
      <c r="D87" s="1198" t="s">
        <v>888</v>
      </c>
      <c r="E87" s="1199">
        <v>55184</v>
      </c>
      <c r="F87" s="1195"/>
    </row>
    <row r="88" spans="2:6" ht="15.95" customHeight="1" x14ac:dyDescent="0.3">
      <c r="B88" s="1196" t="s">
        <v>882</v>
      </c>
      <c r="C88" s="1210">
        <v>156276</v>
      </c>
      <c r="D88" s="1198" t="s">
        <v>892</v>
      </c>
      <c r="E88" s="1199">
        <f>385641+36610-220707</f>
        <v>201544</v>
      </c>
      <c r="F88" s="1195"/>
    </row>
    <row r="89" spans="2:6" ht="15.95" customHeight="1" x14ac:dyDescent="0.3">
      <c r="B89" s="1196"/>
      <c r="C89" s="1213"/>
      <c r="D89" s="1220" t="s">
        <v>883</v>
      </c>
      <c r="E89" s="1199">
        <v>10566</v>
      </c>
      <c r="F89" s="1195"/>
    </row>
    <row r="90" spans="2:6" ht="15.95" customHeight="1" x14ac:dyDescent="0.3">
      <c r="B90" s="1196"/>
      <c r="C90" s="1210"/>
      <c r="D90" s="1198" t="s">
        <v>890</v>
      </c>
      <c r="E90" s="1199">
        <v>5926</v>
      </c>
      <c r="F90" s="1195"/>
    </row>
    <row r="91" spans="2:6" ht="20.100000000000001" customHeight="1" thickBot="1" x14ac:dyDescent="0.35">
      <c r="B91" s="1201"/>
      <c r="C91" s="1212">
        <f>SUM(C86:C90)</f>
        <v>579482</v>
      </c>
      <c r="D91" s="1203"/>
      <c r="E91" s="1204">
        <f>SUM(E85:E90)</f>
        <v>381897</v>
      </c>
      <c r="F91" s="1205">
        <f>F84+C91-E91</f>
        <v>314273</v>
      </c>
    </row>
    <row r="92" spans="2:6" ht="15.95" customHeight="1" x14ac:dyDescent="0.3">
      <c r="B92" s="1191" t="s">
        <v>893</v>
      </c>
      <c r="C92" s="1210"/>
      <c r="D92" s="1198" t="s">
        <v>879</v>
      </c>
      <c r="E92" s="1199">
        <v>90541</v>
      </c>
      <c r="F92" s="1195"/>
    </row>
    <row r="93" spans="2:6" ht="15.95" customHeight="1" x14ac:dyDescent="0.3">
      <c r="B93" s="1196" t="s">
        <v>881</v>
      </c>
      <c r="C93" s="1210"/>
      <c r="D93" s="1198" t="s">
        <v>886</v>
      </c>
      <c r="E93" s="1199">
        <v>1085</v>
      </c>
      <c r="F93" s="1195"/>
    </row>
    <row r="94" spans="2:6" ht="15.95" customHeight="1" x14ac:dyDescent="0.3">
      <c r="B94" s="1196"/>
      <c r="C94" s="1210"/>
      <c r="D94" s="1198" t="s">
        <v>888</v>
      </c>
      <c r="E94" s="1199">
        <v>31851</v>
      </c>
      <c r="F94" s="1195"/>
    </row>
    <row r="95" spans="2:6" ht="15.95" customHeight="1" x14ac:dyDescent="0.3">
      <c r="B95" s="1196" t="s">
        <v>882</v>
      </c>
      <c r="C95" s="1210">
        <v>144167</v>
      </c>
      <c r="D95" s="1198" t="s">
        <v>892</v>
      </c>
      <c r="E95" s="1199">
        <v>53846</v>
      </c>
      <c r="F95" s="1195"/>
    </row>
    <row r="96" spans="2:6" ht="15.95" customHeight="1" x14ac:dyDescent="0.3">
      <c r="B96" s="1219"/>
      <c r="C96" s="1210"/>
      <c r="D96" s="1198" t="s">
        <v>883</v>
      </c>
      <c r="E96" s="1199">
        <v>635</v>
      </c>
      <c r="F96" s="1195"/>
    </row>
    <row r="97" spans="2:6" ht="15.95" customHeight="1" x14ac:dyDescent="0.3">
      <c r="B97" s="1196"/>
      <c r="C97" s="1210"/>
      <c r="D97" s="1198" t="s">
        <v>890</v>
      </c>
      <c r="E97" s="1199"/>
      <c r="F97" s="1195"/>
    </row>
    <row r="98" spans="2:6" ht="20.100000000000001" customHeight="1" thickBot="1" x14ac:dyDescent="0.35">
      <c r="B98" s="1201"/>
      <c r="C98" s="1212">
        <f>SUM(C93:C97)</f>
        <v>144167</v>
      </c>
      <c r="D98" s="1203"/>
      <c r="E98" s="1204">
        <f>SUM(E92:E97)</f>
        <v>177958</v>
      </c>
      <c r="F98" s="1205">
        <f>F91+C98-E98</f>
        <v>280482</v>
      </c>
    </row>
    <row r="99" spans="2:6" ht="15.95" customHeight="1" x14ac:dyDescent="0.3">
      <c r="B99" s="1191" t="s">
        <v>894</v>
      </c>
      <c r="C99" s="1210"/>
      <c r="D99" s="1198" t="s">
        <v>879</v>
      </c>
      <c r="E99" s="1199">
        <v>65050</v>
      </c>
      <c r="F99" s="1195"/>
    </row>
    <row r="100" spans="2:6" ht="15.95" customHeight="1" x14ac:dyDescent="0.3">
      <c r="B100" s="1196" t="s">
        <v>881</v>
      </c>
      <c r="C100" s="1210"/>
      <c r="D100" s="1198" t="s">
        <v>886</v>
      </c>
      <c r="E100" s="1199">
        <v>1085</v>
      </c>
      <c r="F100" s="1195"/>
    </row>
    <row r="101" spans="2:6" ht="15.95" customHeight="1" x14ac:dyDescent="0.3">
      <c r="B101" s="1196"/>
      <c r="C101" s="1210"/>
      <c r="D101" s="1198" t="s">
        <v>888</v>
      </c>
      <c r="E101" s="1199">
        <v>65231</v>
      </c>
      <c r="F101" s="1195"/>
    </row>
    <row r="102" spans="2:6" ht="15.95" customHeight="1" x14ac:dyDescent="0.3">
      <c r="B102" s="1196" t="s">
        <v>882</v>
      </c>
      <c r="C102" s="1210">
        <v>117418</v>
      </c>
      <c r="D102" s="1198" t="s">
        <v>895</v>
      </c>
      <c r="E102" s="1199">
        <v>87849</v>
      </c>
      <c r="F102" s="1195"/>
    </row>
    <row r="103" spans="2:6" ht="15.95" customHeight="1" x14ac:dyDescent="0.3">
      <c r="B103" s="1219"/>
      <c r="C103" s="1210"/>
      <c r="D103" s="1198" t="s">
        <v>896</v>
      </c>
      <c r="E103" s="1198">
        <v>4500</v>
      </c>
      <c r="F103" s="1195"/>
    </row>
    <row r="104" spans="2:6" ht="15.95" customHeight="1" x14ac:dyDescent="0.3">
      <c r="B104" s="1196"/>
      <c r="C104" s="1210"/>
      <c r="D104" s="1220" t="s">
        <v>883</v>
      </c>
      <c r="E104" s="1199">
        <v>638</v>
      </c>
      <c r="F104" s="1195"/>
    </row>
    <row r="105" spans="2:6" ht="15.95" customHeight="1" x14ac:dyDescent="0.3">
      <c r="B105" s="1196"/>
      <c r="C105" s="1210"/>
      <c r="D105" s="1221" t="s">
        <v>897</v>
      </c>
      <c r="E105" s="1194">
        <v>9971</v>
      </c>
      <c r="F105" s="1195"/>
    </row>
    <row r="106" spans="2:6" ht="20.100000000000001" customHeight="1" thickBot="1" x14ac:dyDescent="0.35">
      <c r="B106" s="1201"/>
      <c r="C106" s="1212">
        <f>SUM(C100:C105)</f>
        <v>117418</v>
      </c>
      <c r="D106" s="1203"/>
      <c r="E106" s="1204">
        <f>SUM(E99:E105)</f>
        <v>234324</v>
      </c>
      <c r="F106" s="1205">
        <f>F98+C106-E106</f>
        <v>163576</v>
      </c>
    </row>
    <row r="107" spans="2:6" ht="15.95" customHeight="1" x14ac:dyDescent="0.3">
      <c r="B107" s="1191" t="s">
        <v>898</v>
      </c>
      <c r="C107" s="1210"/>
      <c r="D107" s="1198" t="s">
        <v>879</v>
      </c>
      <c r="E107" s="1199">
        <v>85080</v>
      </c>
      <c r="F107" s="1195"/>
    </row>
    <row r="108" spans="2:6" ht="15.95" customHeight="1" x14ac:dyDescent="0.3">
      <c r="B108" s="1196" t="s">
        <v>881</v>
      </c>
      <c r="C108" s="1210">
        <v>22826</v>
      </c>
      <c r="D108" s="1198" t="s">
        <v>886</v>
      </c>
      <c r="E108" s="1199">
        <v>1085</v>
      </c>
      <c r="F108" s="1195"/>
    </row>
    <row r="109" spans="2:6" ht="15.95" customHeight="1" x14ac:dyDescent="0.3">
      <c r="B109" s="1196"/>
      <c r="C109" s="1210"/>
      <c r="D109" s="1198" t="s">
        <v>888</v>
      </c>
      <c r="E109" s="1199">
        <v>53128</v>
      </c>
      <c r="F109" s="1195"/>
    </row>
    <row r="110" spans="2:6" ht="15.95" customHeight="1" x14ac:dyDescent="0.3">
      <c r="B110" s="1196" t="s">
        <v>882</v>
      </c>
      <c r="C110" s="1210">
        <v>114943</v>
      </c>
      <c r="D110" s="1198" t="s">
        <v>899</v>
      </c>
      <c r="E110" s="1199">
        <v>4849</v>
      </c>
      <c r="F110" s="1195"/>
    </row>
    <row r="111" spans="2:6" ht="15.95" customHeight="1" x14ac:dyDescent="0.3">
      <c r="B111" s="1219"/>
      <c r="C111" s="1210"/>
      <c r="D111" s="1198" t="s">
        <v>896</v>
      </c>
      <c r="E111" s="1199">
        <f>26500+42546</f>
        <v>69046</v>
      </c>
      <c r="F111" s="1195"/>
    </row>
    <row r="112" spans="2:6" ht="15.95" customHeight="1" x14ac:dyDescent="0.3">
      <c r="B112" s="1196"/>
      <c r="C112" s="1210"/>
      <c r="D112" s="1198" t="s">
        <v>900</v>
      </c>
      <c r="E112" s="1199">
        <v>792</v>
      </c>
      <c r="F112" s="1195"/>
    </row>
    <row r="113" spans="2:7" ht="15.95" customHeight="1" x14ac:dyDescent="0.3">
      <c r="B113" s="1196"/>
      <c r="C113" s="1210"/>
      <c r="D113" s="1221" t="s">
        <v>897</v>
      </c>
      <c r="E113" s="1194">
        <f>113+4233</f>
        <v>4346</v>
      </c>
      <c r="F113" s="1195"/>
    </row>
    <row r="114" spans="2:7" ht="20.100000000000001" customHeight="1" thickBot="1" x14ac:dyDescent="0.35">
      <c r="B114" s="1201"/>
      <c r="C114" s="1212">
        <f>SUM(C108:C113)</f>
        <v>137769</v>
      </c>
      <c r="D114" s="1203"/>
      <c r="E114" s="1204">
        <f>SUM(E107:E113)</f>
        <v>218326</v>
      </c>
      <c r="F114" s="1205">
        <f>F106+C114-E114</f>
        <v>83019</v>
      </c>
    </row>
    <row r="115" spans="2:7" ht="18.75" x14ac:dyDescent="0.3">
      <c r="B115" s="1191" t="s">
        <v>901</v>
      </c>
      <c r="C115" s="1210"/>
      <c r="D115" s="1198" t="s">
        <v>879</v>
      </c>
      <c r="E115" s="1199">
        <v>68260</v>
      </c>
      <c r="F115" s="1195"/>
    </row>
    <row r="116" spans="2:7" ht="18.75" x14ac:dyDescent="0.3">
      <c r="B116" s="1196" t="s">
        <v>881</v>
      </c>
      <c r="C116" s="1210"/>
      <c r="D116" s="1198" t="s">
        <v>886</v>
      </c>
      <c r="E116" s="1199">
        <v>1085</v>
      </c>
      <c r="F116" s="1195"/>
    </row>
    <row r="117" spans="2:7" ht="18.75" x14ac:dyDescent="0.3">
      <c r="B117" s="1196"/>
      <c r="C117" s="1210"/>
      <c r="D117" s="1198" t="s">
        <v>888</v>
      </c>
      <c r="E117" s="1199">
        <v>34439</v>
      </c>
      <c r="F117" s="1195"/>
    </row>
    <row r="118" spans="2:7" ht="18.75" x14ac:dyDescent="0.3">
      <c r="B118" s="1196" t="s">
        <v>882</v>
      </c>
      <c r="C118" s="1210">
        <v>109083</v>
      </c>
      <c r="D118" s="1198" t="s">
        <v>896</v>
      </c>
      <c r="E118" s="1199">
        <f>18655+679</f>
        <v>19334</v>
      </c>
      <c r="F118" s="1195"/>
    </row>
    <row r="119" spans="2:7" ht="18.75" x14ac:dyDescent="0.3">
      <c r="B119" s="1219"/>
      <c r="C119" s="1210"/>
      <c r="D119" s="1198" t="s">
        <v>900</v>
      </c>
      <c r="E119" s="1199">
        <v>526</v>
      </c>
      <c r="F119" s="1195"/>
    </row>
    <row r="120" spans="2:7" ht="18.75" x14ac:dyDescent="0.3">
      <c r="B120" s="1196"/>
      <c r="C120" s="1210"/>
      <c r="D120" s="1221" t="s">
        <v>897</v>
      </c>
      <c r="E120" s="1194">
        <v>81239</v>
      </c>
      <c r="F120" s="1195"/>
    </row>
    <row r="121" spans="2:7" ht="19.5" thickBot="1" x14ac:dyDescent="0.35">
      <c r="B121" s="1201"/>
      <c r="C121" s="1212">
        <f>SUM(C116:C120)</f>
        <v>109083</v>
      </c>
      <c r="D121" s="1203"/>
      <c r="E121" s="1204">
        <f>SUM(E115:E120)</f>
        <v>204883</v>
      </c>
      <c r="F121" s="1205">
        <f>F114+C121-E121</f>
        <v>-12781</v>
      </c>
    </row>
    <row r="122" spans="2:7" ht="18.75" x14ac:dyDescent="0.3">
      <c r="B122" s="1191" t="s">
        <v>902</v>
      </c>
      <c r="C122" s="1210"/>
      <c r="D122" s="1198" t="s">
        <v>879</v>
      </c>
      <c r="E122" s="1199">
        <v>13900</v>
      </c>
      <c r="F122" s="1195"/>
    </row>
    <row r="123" spans="2:7" ht="18.75" x14ac:dyDescent="0.3">
      <c r="B123" s="1196" t="s">
        <v>881</v>
      </c>
      <c r="C123" s="1210"/>
      <c r="D123" s="1198" t="s">
        <v>886</v>
      </c>
      <c r="E123" s="1199">
        <v>1085</v>
      </c>
      <c r="F123" s="1195"/>
    </row>
    <row r="124" spans="2:7" ht="18.75" x14ac:dyDescent="0.3">
      <c r="B124" s="1196"/>
      <c r="C124" s="1210"/>
      <c r="D124" s="1198" t="s">
        <v>888</v>
      </c>
      <c r="E124" s="1199">
        <v>18194</v>
      </c>
      <c r="F124" s="1195"/>
    </row>
    <row r="125" spans="2:7" ht="18.75" x14ac:dyDescent="0.3">
      <c r="B125" s="1196" t="s">
        <v>882</v>
      </c>
      <c r="C125" s="1210">
        <v>97239</v>
      </c>
      <c r="D125" s="1198" t="s">
        <v>896</v>
      </c>
      <c r="E125" s="1199">
        <v>14103</v>
      </c>
      <c r="F125" s="1195"/>
    </row>
    <row r="126" spans="2:7" ht="18.75" x14ac:dyDescent="0.3">
      <c r="B126" s="1219"/>
      <c r="C126" s="1210"/>
      <c r="D126" s="1198" t="s">
        <v>900</v>
      </c>
      <c r="E126" s="1199">
        <v>206</v>
      </c>
      <c r="F126" s="1195"/>
      <c r="G126" s="594"/>
    </row>
    <row r="127" spans="2:7" ht="18.75" x14ac:dyDescent="0.3">
      <c r="B127" s="1196"/>
      <c r="C127" s="1210"/>
      <c r="D127" s="1221" t="s">
        <v>897</v>
      </c>
      <c r="E127" s="1194">
        <f>205083+3377</f>
        <v>208460</v>
      </c>
      <c r="F127" s="1195"/>
    </row>
    <row r="128" spans="2:7" ht="19.5" thickBot="1" x14ac:dyDescent="0.35">
      <c r="B128" s="1201"/>
      <c r="C128" s="1212">
        <f>SUM(C123:C127)</f>
        <v>97239</v>
      </c>
      <c r="D128" s="1203"/>
      <c r="E128" s="1204">
        <f>SUM(E122:E127)</f>
        <v>255948</v>
      </c>
      <c r="F128" s="1205">
        <f>F121+C128-E128</f>
        <v>-171490</v>
      </c>
    </row>
    <row r="129" spans="2:7" ht="18.75" x14ac:dyDescent="0.3">
      <c r="B129" s="1191" t="s">
        <v>903</v>
      </c>
      <c r="C129" s="1210"/>
      <c r="D129" s="1198" t="s">
        <v>879</v>
      </c>
      <c r="E129" s="1199">
        <v>1100</v>
      </c>
      <c r="F129" s="1195"/>
    </row>
    <row r="130" spans="2:7" ht="18.75" x14ac:dyDescent="0.3">
      <c r="B130" s="1196" t="s">
        <v>881</v>
      </c>
      <c r="C130" s="1210"/>
      <c r="D130" s="1198" t="s">
        <v>904</v>
      </c>
      <c r="E130" s="1199">
        <v>17241</v>
      </c>
      <c r="F130" s="1195"/>
    </row>
    <row r="131" spans="2:7" ht="56.25" x14ac:dyDescent="0.3">
      <c r="B131" s="1196"/>
      <c r="C131" s="1210"/>
      <c r="D131" s="1222" t="s">
        <v>905</v>
      </c>
      <c r="E131" s="1199">
        <v>52</v>
      </c>
      <c r="F131" s="1195"/>
    </row>
    <row r="132" spans="2:7" ht="18.75" x14ac:dyDescent="0.3">
      <c r="B132" s="1196" t="s">
        <v>882</v>
      </c>
      <c r="C132" s="528">
        <v>82793</v>
      </c>
      <c r="D132" s="1198" t="s">
        <v>900</v>
      </c>
      <c r="E132" s="1199">
        <v>658</v>
      </c>
      <c r="F132" s="1195"/>
    </row>
    <row r="133" spans="2:7" ht="18.75" x14ac:dyDescent="0.3">
      <c r="B133" s="1219"/>
      <c r="C133" s="1210"/>
      <c r="D133" s="1221" t="s">
        <v>897</v>
      </c>
      <c r="E133" s="1194">
        <f>1029+305355</f>
        <v>306384</v>
      </c>
      <c r="F133" s="1195"/>
    </row>
    <row r="134" spans="2:7" ht="19.5" thickBot="1" x14ac:dyDescent="0.35">
      <c r="B134" s="1201"/>
      <c r="C134" s="1212">
        <f>SUM(C130:C133)</f>
        <v>82793</v>
      </c>
      <c r="D134" s="1203"/>
      <c r="E134" s="1204">
        <f>SUM(E129:E133)</f>
        <v>325435</v>
      </c>
      <c r="F134" s="1205">
        <f>F128+C134-E134</f>
        <v>-414132</v>
      </c>
    </row>
    <row r="135" spans="2:7" s="591" customFormat="1" ht="37.5" customHeight="1" thickBot="1" x14ac:dyDescent="0.35">
      <c r="B135" s="1186" t="s">
        <v>821</v>
      </c>
      <c r="C135" s="1187" t="s">
        <v>822</v>
      </c>
      <c r="D135" s="1188" t="s">
        <v>823</v>
      </c>
      <c r="E135" s="1189" t="s">
        <v>824</v>
      </c>
      <c r="F135" s="1190" t="s">
        <v>825</v>
      </c>
      <c r="G135" s="592"/>
    </row>
    <row r="136" spans="2:7" ht="18.75" x14ac:dyDescent="0.3">
      <c r="B136" s="1191" t="s">
        <v>906</v>
      </c>
      <c r="C136" s="1210"/>
      <c r="D136" s="1198" t="s">
        <v>879</v>
      </c>
      <c r="E136" s="1199"/>
      <c r="F136" s="1195"/>
    </row>
    <row r="137" spans="2:7" ht="18.75" x14ac:dyDescent="0.3">
      <c r="B137" s="1196" t="s">
        <v>881</v>
      </c>
      <c r="C137" s="1210"/>
      <c r="D137" s="1198" t="s">
        <v>904</v>
      </c>
      <c r="E137" s="1199">
        <v>15156</v>
      </c>
      <c r="F137" s="1195"/>
    </row>
    <row r="138" spans="2:7" ht="56.25" x14ac:dyDescent="0.3">
      <c r="B138" s="1196"/>
      <c r="C138" s="1210"/>
      <c r="D138" s="1222" t="s">
        <v>905</v>
      </c>
      <c r="E138" s="1199">
        <v>2076</v>
      </c>
      <c r="F138" s="1195"/>
    </row>
    <row r="139" spans="2:7" ht="18.75" x14ac:dyDescent="0.3">
      <c r="B139" s="1196" t="s">
        <v>882</v>
      </c>
      <c r="C139" s="528">
        <v>70598</v>
      </c>
      <c r="D139" s="1198" t="s">
        <v>900</v>
      </c>
      <c r="E139" s="1199">
        <v>39</v>
      </c>
      <c r="F139" s="1195"/>
    </row>
    <row r="140" spans="2:7" ht="18.75" x14ac:dyDescent="0.3">
      <c r="B140" s="1219"/>
      <c r="C140" s="1210"/>
      <c r="D140" s="1221" t="s">
        <v>897</v>
      </c>
      <c r="E140" s="1194">
        <f>861+4013+59376+1135</f>
        <v>65385</v>
      </c>
      <c r="F140" s="1195"/>
    </row>
    <row r="141" spans="2:7" ht="19.5" thickBot="1" x14ac:dyDescent="0.35">
      <c r="B141" s="1201"/>
      <c r="C141" s="1212">
        <f>SUM(C137:C139)</f>
        <v>70598</v>
      </c>
      <c r="D141" s="1203"/>
      <c r="E141" s="1204">
        <f>SUM(E136:E140)</f>
        <v>82656</v>
      </c>
      <c r="F141" s="1205">
        <f>F134+C141-E141</f>
        <v>-426190</v>
      </c>
    </row>
    <row r="142" spans="2:7" ht="18.75" x14ac:dyDescent="0.3">
      <c r="B142" s="1191" t="s">
        <v>907</v>
      </c>
      <c r="C142" s="1210"/>
      <c r="D142" s="1198" t="s">
        <v>879</v>
      </c>
      <c r="E142" s="1199"/>
      <c r="F142" s="1195"/>
    </row>
    <row r="143" spans="2:7" ht="18.75" x14ac:dyDescent="0.3">
      <c r="B143" s="1196" t="s">
        <v>881</v>
      </c>
      <c r="C143" s="1210"/>
      <c r="D143" s="1198" t="s">
        <v>904</v>
      </c>
      <c r="E143" s="1199"/>
      <c r="F143" s="1195"/>
    </row>
    <row r="144" spans="2:7" ht="56.25" x14ac:dyDescent="0.3">
      <c r="B144" s="1196"/>
      <c r="C144" s="1210"/>
      <c r="D144" s="1222" t="s">
        <v>905</v>
      </c>
      <c r="E144" s="1199">
        <v>1845</v>
      </c>
      <c r="F144" s="1195"/>
      <c r="G144" s="594"/>
    </row>
    <row r="145" spans="2:9" ht="18.75" x14ac:dyDescent="0.3">
      <c r="B145" s="1196" t="s">
        <v>882</v>
      </c>
      <c r="C145" s="528">
        <v>58874</v>
      </c>
      <c r="D145" s="1198" t="s">
        <v>900</v>
      </c>
      <c r="E145" s="1199">
        <v>73</v>
      </c>
      <c r="F145" s="1195"/>
    </row>
    <row r="146" spans="2:9" ht="18.75" x14ac:dyDescent="0.3">
      <c r="B146" s="1219"/>
      <c r="C146" s="1210"/>
      <c r="D146" s="1221" t="s">
        <v>897</v>
      </c>
      <c r="E146" s="1194">
        <v>0</v>
      </c>
      <c r="F146" s="1195"/>
    </row>
    <row r="147" spans="2:9" ht="19.5" thickBot="1" x14ac:dyDescent="0.35">
      <c r="B147" s="1201"/>
      <c r="C147" s="1212">
        <f>SUM(C143:C145)</f>
        <v>58874</v>
      </c>
      <c r="D147" s="1203"/>
      <c r="E147" s="1204">
        <f>SUM(E142:E146)</f>
        <v>1918</v>
      </c>
      <c r="F147" s="1205">
        <f>F141+C147-E147</f>
        <v>-369234</v>
      </c>
      <c r="G147"/>
      <c r="H147"/>
      <c r="I147"/>
    </row>
    <row r="148" spans="2:9" ht="18.75" x14ac:dyDescent="0.3">
      <c r="B148" s="1191" t="s">
        <v>908</v>
      </c>
      <c r="C148" s="1210"/>
      <c r="D148" s="1198"/>
      <c r="E148" s="1199"/>
      <c r="F148" s="1195"/>
      <c r="G148"/>
      <c r="H148"/>
      <c r="I148"/>
    </row>
    <row r="149" spans="2:9" ht="18.75" x14ac:dyDescent="0.3">
      <c r="B149" s="1196" t="s">
        <v>881</v>
      </c>
      <c r="C149" s="1210"/>
      <c r="D149" s="1198" t="s">
        <v>909</v>
      </c>
      <c r="E149" s="1199">
        <v>49982</v>
      </c>
      <c r="F149" s="1195"/>
      <c r="G149" s="595"/>
      <c r="H149"/>
      <c r="I149"/>
    </row>
    <row r="150" spans="2:9" ht="18.75" x14ac:dyDescent="0.3">
      <c r="B150" s="1196"/>
      <c r="C150" s="1210"/>
      <c r="D150" s="1222" t="s">
        <v>910</v>
      </c>
      <c r="E150" s="1199">
        <v>19718</v>
      </c>
      <c r="F150" s="1195"/>
      <c r="G150"/>
      <c r="H150"/>
      <c r="I150"/>
    </row>
    <row r="151" spans="2:9" ht="18.75" x14ac:dyDescent="0.3">
      <c r="B151" s="1196" t="s">
        <v>882</v>
      </c>
      <c r="C151" s="528">
        <v>62648</v>
      </c>
      <c r="D151" s="1198" t="s">
        <v>900</v>
      </c>
      <c r="E151" s="1199"/>
      <c r="F151" s="1195"/>
      <c r="G151" s="595"/>
      <c r="H151"/>
      <c r="I151"/>
    </row>
    <row r="152" spans="2:9" ht="18.75" x14ac:dyDescent="0.3">
      <c r="B152" s="1219"/>
      <c r="C152" s="1210"/>
      <c r="D152" s="1221" t="s">
        <v>897</v>
      </c>
      <c r="E152" s="1194">
        <v>0</v>
      </c>
      <c r="F152" s="1195"/>
      <c r="G152"/>
      <c r="H152"/>
      <c r="I152"/>
    </row>
    <row r="153" spans="2:9" ht="19.5" thickBot="1" x14ac:dyDescent="0.35">
      <c r="B153" s="1201"/>
      <c r="C153" s="1212">
        <f>SUM(C149:C151)</f>
        <v>62648</v>
      </c>
      <c r="D153" s="1203"/>
      <c r="E153" s="1204">
        <f>SUM(E148:E152)</f>
        <v>69700</v>
      </c>
      <c r="F153" s="1205">
        <f>F147+C153-E153</f>
        <v>-376286</v>
      </c>
      <c r="G153"/>
      <c r="H153"/>
      <c r="I153"/>
    </row>
    <row r="154" spans="2:9" ht="18.75" x14ac:dyDescent="0.3">
      <c r="B154" s="1214" t="s">
        <v>911</v>
      </c>
      <c r="C154" s="1215"/>
      <c r="D154" s="1216"/>
      <c r="E154" s="1217"/>
      <c r="F154" s="1218"/>
      <c r="G154"/>
      <c r="H154"/>
      <c r="I154"/>
    </row>
    <row r="155" spans="2:9" ht="18.75" x14ac:dyDescent="0.3">
      <c r="B155" s="1196" t="s">
        <v>881</v>
      </c>
      <c r="C155" s="1210">
        <v>26046</v>
      </c>
      <c r="D155" s="1222" t="s">
        <v>910</v>
      </c>
      <c r="E155" s="1199">
        <v>19764</v>
      </c>
      <c r="F155" s="1195"/>
      <c r="G155"/>
      <c r="H155"/>
      <c r="I155"/>
    </row>
    <row r="156" spans="2:9" ht="18.75" x14ac:dyDescent="0.3">
      <c r="B156" s="1196"/>
      <c r="C156" s="1210"/>
      <c r="D156" s="1016" t="s">
        <v>897</v>
      </c>
      <c r="E156" s="1199">
        <v>4</v>
      </c>
      <c r="F156" s="1195"/>
      <c r="G156"/>
      <c r="H156"/>
      <c r="I156"/>
    </row>
    <row r="157" spans="2:9" ht="18.75" x14ac:dyDescent="0.3">
      <c r="B157" s="1196" t="s">
        <v>882</v>
      </c>
      <c r="C157" s="528">
        <v>50065</v>
      </c>
      <c r="D157" s="1198" t="s">
        <v>912</v>
      </c>
      <c r="E157" s="1199">
        <v>2366</v>
      </c>
      <c r="F157" s="1195"/>
      <c r="G157"/>
      <c r="H157"/>
      <c r="I157"/>
    </row>
    <row r="158" spans="2:9" ht="18.75" x14ac:dyDescent="0.3">
      <c r="B158" s="1219"/>
      <c r="C158" s="1210"/>
      <c r="D158" s="1221"/>
      <c r="E158" s="1194"/>
      <c r="F158" s="1195"/>
      <c r="G158"/>
      <c r="H158"/>
      <c r="I158"/>
    </row>
    <row r="159" spans="2:9" ht="19.5" thickBot="1" x14ac:dyDescent="0.35">
      <c r="B159" s="1201"/>
      <c r="C159" s="1212">
        <f>SUM(C155:C158)</f>
        <v>76111</v>
      </c>
      <c r="D159" s="1203"/>
      <c r="E159" s="1204">
        <f>SUM(E155:E158)</f>
        <v>22134</v>
      </c>
      <c r="F159" s="1205">
        <f>+F153+C159-E159</f>
        <v>-322309</v>
      </c>
      <c r="G159"/>
      <c r="H159"/>
      <c r="I159"/>
    </row>
    <row r="160" spans="2:9" ht="18.75" x14ac:dyDescent="0.3">
      <c r="B160" s="1214" t="s">
        <v>913</v>
      </c>
      <c r="C160" s="1215"/>
      <c r="D160" s="1216"/>
      <c r="E160" s="1217"/>
      <c r="F160" s="1223"/>
      <c r="G160"/>
      <c r="H160"/>
      <c r="I160"/>
    </row>
    <row r="161" spans="2:9" ht="18.75" x14ac:dyDescent="0.3">
      <c r="B161" s="1196" t="s">
        <v>881</v>
      </c>
      <c r="C161" s="1210">
        <v>74316</v>
      </c>
      <c r="D161" s="1222" t="s">
        <v>910</v>
      </c>
      <c r="E161" s="1199">
        <v>23662</v>
      </c>
      <c r="F161" s="1224"/>
      <c r="G161"/>
      <c r="H161"/>
      <c r="I161"/>
    </row>
    <row r="162" spans="2:9" ht="18.75" x14ac:dyDescent="0.3">
      <c r="B162" s="1196"/>
      <c r="C162" s="1210"/>
      <c r="D162" s="1016" t="s">
        <v>897</v>
      </c>
      <c r="E162" s="1199">
        <v>1948</v>
      </c>
      <c r="F162" s="1224"/>
      <c r="G162"/>
      <c r="H162"/>
      <c r="I162"/>
    </row>
    <row r="163" spans="2:9" ht="18.75" x14ac:dyDescent="0.3">
      <c r="B163" s="1196" t="s">
        <v>882</v>
      </c>
      <c r="C163" s="528">
        <v>40185</v>
      </c>
      <c r="D163" s="1198" t="s">
        <v>912</v>
      </c>
      <c r="E163" s="1199">
        <v>1953</v>
      </c>
      <c r="F163" s="1224"/>
      <c r="G163"/>
      <c r="H163"/>
      <c r="I163"/>
    </row>
    <row r="164" spans="2:9" ht="18.75" x14ac:dyDescent="0.3">
      <c r="B164" s="1225"/>
      <c r="C164" s="1226"/>
      <c r="D164" s="1227"/>
      <c r="E164" s="1228"/>
      <c r="F164" s="1229"/>
      <c r="G164"/>
      <c r="H164"/>
      <c r="I164"/>
    </row>
    <row r="165" spans="2:9" ht="19.5" thickBot="1" x14ac:dyDescent="0.35">
      <c r="B165" s="1230"/>
      <c r="C165" s="1231">
        <f>SUM(C161:C164)</f>
        <v>114501</v>
      </c>
      <c r="D165" s="1232"/>
      <c r="E165" s="1233">
        <f>SUM(E161:E164)</f>
        <v>27563</v>
      </c>
      <c r="F165" s="1234">
        <f>+F159+C165-E165</f>
        <v>-235371</v>
      </c>
      <c r="G165"/>
      <c r="H165"/>
      <c r="I165"/>
    </row>
    <row r="166" spans="2:9" ht="18.75" x14ac:dyDescent="0.3">
      <c r="B166" s="1214" t="s">
        <v>914</v>
      </c>
      <c r="C166" s="1215"/>
      <c r="D166" s="1216"/>
      <c r="E166" s="1217"/>
      <c r="F166" s="1223"/>
      <c r="G166"/>
      <c r="H166"/>
      <c r="I166"/>
    </row>
    <row r="167" spans="2:9" ht="18.75" x14ac:dyDescent="0.3">
      <c r="B167" s="1196" t="s">
        <v>881</v>
      </c>
      <c r="C167" s="1210">
        <v>78723</v>
      </c>
      <c r="D167" s="1222" t="s">
        <v>910</v>
      </c>
      <c r="E167" s="1199">
        <v>29980</v>
      </c>
      <c r="F167" s="1224"/>
      <c r="G167"/>
      <c r="H167"/>
      <c r="I167"/>
    </row>
    <row r="168" spans="2:9" ht="18.75" x14ac:dyDescent="0.3">
      <c r="B168" s="1196"/>
      <c r="C168" s="1210"/>
      <c r="D168" s="1016" t="s">
        <v>897</v>
      </c>
      <c r="E168" s="1199">
        <v>3028</v>
      </c>
      <c r="F168" s="1224"/>
      <c r="G168"/>
      <c r="H168"/>
      <c r="I168"/>
    </row>
    <row r="169" spans="2:9" ht="18.75" x14ac:dyDescent="0.3">
      <c r="B169" s="1196" t="s">
        <v>882</v>
      </c>
      <c r="C169" s="528">
        <v>31847</v>
      </c>
      <c r="D169" s="1198" t="s">
        <v>912</v>
      </c>
      <c r="E169" s="1199">
        <v>1895</v>
      </c>
      <c r="F169" s="1224"/>
      <c r="G169"/>
      <c r="H169"/>
      <c r="I169"/>
    </row>
    <row r="170" spans="2:9" ht="18.75" x14ac:dyDescent="0.3">
      <c r="B170" s="1196"/>
      <c r="C170" s="528"/>
      <c r="D170" s="1198" t="s">
        <v>915</v>
      </c>
      <c r="E170" s="1199">
        <v>25575</v>
      </c>
      <c r="F170" s="1224"/>
      <c r="G170"/>
      <c r="H170"/>
      <c r="I170"/>
    </row>
    <row r="171" spans="2:9" ht="18.75" x14ac:dyDescent="0.3">
      <c r="B171" s="1196"/>
      <c r="C171" s="528"/>
      <c r="D171" s="1198" t="s">
        <v>916</v>
      </c>
      <c r="E171" s="1199">
        <v>16000</v>
      </c>
      <c r="F171" s="1224"/>
      <c r="G171"/>
      <c r="H171"/>
      <c r="I171"/>
    </row>
    <row r="172" spans="2:9" ht="18.75" x14ac:dyDescent="0.3">
      <c r="B172" s="1225"/>
      <c r="C172" s="1226"/>
      <c r="D172" s="1227"/>
      <c r="E172" s="1228"/>
      <c r="F172" s="1229"/>
      <c r="G172"/>
      <c r="H172"/>
      <c r="I172"/>
    </row>
    <row r="173" spans="2:9" ht="19.5" thickBot="1" x14ac:dyDescent="0.35">
      <c r="B173" s="1230"/>
      <c r="C173" s="1231">
        <f>SUM(C167:C172)</f>
        <v>110570</v>
      </c>
      <c r="D173" s="1232"/>
      <c r="E173" s="1233">
        <f>SUM(E167:E172)</f>
        <v>76478</v>
      </c>
      <c r="F173" s="1234">
        <f>+F165+C173-E173</f>
        <v>-201279</v>
      </c>
      <c r="G173"/>
      <c r="H173"/>
      <c r="I173"/>
    </row>
    <row r="174" spans="2:9" ht="18.75" x14ac:dyDescent="0.3">
      <c r="B174" s="1214" t="s">
        <v>917</v>
      </c>
      <c r="C174" s="1215"/>
      <c r="D174" s="1216"/>
      <c r="E174" s="1217"/>
      <c r="F174" s="1223"/>
      <c r="G174"/>
      <c r="H174"/>
      <c r="I174"/>
    </row>
    <row r="175" spans="2:9" ht="18.75" x14ac:dyDescent="0.3">
      <c r="B175" s="1196" t="s">
        <v>881</v>
      </c>
      <c r="C175" s="1210">
        <v>55643</v>
      </c>
      <c r="D175" s="1222" t="s">
        <v>910</v>
      </c>
      <c r="E175" s="1199">
        <v>29995</v>
      </c>
      <c r="F175" s="1224"/>
      <c r="G175"/>
      <c r="H175"/>
      <c r="I175"/>
    </row>
    <row r="176" spans="2:9" ht="18.75" x14ac:dyDescent="0.3">
      <c r="B176" s="1196"/>
      <c r="C176" s="1210"/>
      <c r="D176" s="1016" t="s">
        <v>897</v>
      </c>
      <c r="E176" s="1199">
        <v>128</v>
      </c>
      <c r="F176" s="1224"/>
      <c r="G176"/>
      <c r="H176"/>
      <c r="I176"/>
    </row>
    <row r="177" spans="2:9" ht="18.75" x14ac:dyDescent="0.3">
      <c r="B177" s="1196" t="s">
        <v>882</v>
      </c>
      <c r="C177" s="528">
        <v>27450</v>
      </c>
      <c r="D177" s="1198" t="s">
        <v>912</v>
      </c>
      <c r="E177" s="1199">
        <v>1837</v>
      </c>
      <c r="F177" s="1224"/>
      <c r="G177"/>
      <c r="H177"/>
      <c r="I177"/>
    </row>
    <row r="178" spans="2:9" ht="18.75" x14ac:dyDescent="0.3">
      <c r="B178" s="1196"/>
      <c r="C178" s="528"/>
      <c r="D178" s="1198" t="s">
        <v>915</v>
      </c>
      <c r="E178" s="1199">
        <v>111151</v>
      </c>
      <c r="F178" s="1224"/>
      <c r="G178"/>
      <c r="H178"/>
      <c r="I178"/>
    </row>
    <row r="179" spans="2:9" ht="18.75" x14ac:dyDescent="0.3">
      <c r="B179" s="1196"/>
      <c r="C179" s="1235"/>
      <c r="D179" s="1198"/>
      <c r="E179" s="1236"/>
      <c r="F179" s="1224"/>
      <c r="G179"/>
      <c r="H179"/>
      <c r="I179"/>
    </row>
    <row r="180" spans="2:9" ht="18.75" x14ac:dyDescent="0.3">
      <c r="B180" s="1225"/>
      <c r="C180" s="1226"/>
      <c r="D180" s="1227"/>
      <c r="E180" s="1228"/>
      <c r="F180" s="1229"/>
      <c r="G180"/>
      <c r="H180"/>
      <c r="I180"/>
    </row>
    <row r="181" spans="2:9" ht="19.5" thickBot="1" x14ac:dyDescent="0.35">
      <c r="B181" s="1230"/>
      <c r="C181" s="1231">
        <f>SUM(C175:C180)</f>
        <v>83093</v>
      </c>
      <c r="D181" s="1232"/>
      <c r="E181" s="1233">
        <f>SUM(E175:E180)</f>
        <v>143111</v>
      </c>
      <c r="F181" s="1234">
        <f>+F173+C181-E181</f>
        <v>-261297</v>
      </c>
      <c r="G181"/>
      <c r="H181"/>
      <c r="I181"/>
    </row>
    <row r="182" spans="2:9" ht="18.75" x14ac:dyDescent="0.3">
      <c r="B182" s="1214" t="s">
        <v>918</v>
      </c>
      <c r="C182" s="1215"/>
      <c r="D182" s="1216"/>
      <c r="E182" s="1217"/>
      <c r="F182" s="1223"/>
      <c r="G182"/>
      <c r="H182"/>
      <c r="I182"/>
    </row>
    <row r="183" spans="2:9" ht="18.75" x14ac:dyDescent="0.3">
      <c r="B183" s="1196" t="s">
        <v>881</v>
      </c>
      <c r="C183" s="1210">
        <v>83142</v>
      </c>
      <c r="D183" s="1222" t="s">
        <v>910</v>
      </c>
      <c r="E183" s="1199">
        <v>33745</v>
      </c>
      <c r="F183" s="1224"/>
      <c r="G183"/>
      <c r="H183"/>
      <c r="I183"/>
    </row>
    <row r="184" spans="2:9" ht="18.75" x14ac:dyDescent="0.3">
      <c r="B184" s="1196" t="s">
        <v>882</v>
      </c>
      <c r="C184" s="528">
        <v>23910</v>
      </c>
      <c r="D184" s="1198" t="s">
        <v>912</v>
      </c>
      <c r="E184" s="1199">
        <v>1779</v>
      </c>
      <c r="F184" s="1224"/>
      <c r="G184"/>
      <c r="H184"/>
      <c r="I184"/>
    </row>
    <row r="185" spans="2:9" ht="18.75" x14ac:dyDescent="0.3">
      <c r="B185" s="1196"/>
      <c r="C185" s="528"/>
      <c r="D185" s="1198" t="s">
        <v>915</v>
      </c>
      <c r="E185" s="1199">
        <v>24603</v>
      </c>
      <c r="F185" s="1224"/>
      <c r="G185"/>
      <c r="H185"/>
      <c r="I185"/>
    </row>
    <row r="186" spans="2:9" ht="18.75" x14ac:dyDescent="0.3">
      <c r="B186" s="1196"/>
      <c r="C186" s="1235"/>
      <c r="D186" s="1198"/>
      <c r="E186" s="1236"/>
      <c r="F186" s="1224"/>
      <c r="G186"/>
      <c r="H186"/>
      <c r="I186"/>
    </row>
    <row r="187" spans="2:9" ht="18.75" x14ac:dyDescent="0.3">
      <c r="B187" s="1225"/>
      <c r="C187" s="1226"/>
      <c r="D187" s="1227"/>
      <c r="E187" s="1228"/>
      <c r="F187" s="1229"/>
      <c r="G187"/>
      <c r="H187"/>
      <c r="I187"/>
    </row>
    <row r="188" spans="2:9" ht="19.5" thickBot="1" x14ac:dyDescent="0.35">
      <c r="B188" s="1230"/>
      <c r="C188" s="1231">
        <f>SUM(C183:C187)</f>
        <v>107052</v>
      </c>
      <c r="D188" s="1232"/>
      <c r="E188" s="1233">
        <f>SUM(E183:E187)</f>
        <v>60127</v>
      </c>
      <c r="F188" s="1234">
        <f>+F181+C188-E188</f>
        <v>-214372</v>
      </c>
      <c r="G188"/>
      <c r="H188"/>
      <c r="I188"/>
    </row>
    <row r="189" spans="2:9" ht="18.75" x14ac:dyDescent="0.3">
      <c r="B189" s="1214" t="s">
        <v>919</v>
      </c>
      <c r="C189" s="1215"/>
      <c r="D189" s="1216"/>
      <c r="E189" s="1217"/>
      <c r="F189" s="1223"/>
      <c r="G189"/>
      <c r="H189"/>
      <c r="I189"/>
    </row>
    <row r="190" spans="2:9" ht="18.75" x14ac:dyDescent="0.3">
      <c r="B190" s="1196" t="s">
        <v>881</v>
      </c>
      <c r="C190" s="1210">
        <v>95353</v>
      </c>
      <c r="D190" s="1222" t="s">
        <v>910</v>
      </c>
      <c r="E190" s="1199">
        <v>31639</v>
      </c>
      <c r="F190" s="1224"/>
      <c r="G190"/>
      <c r="H190"/>
      <c r="I190"/>
    </row>
    <row r="191" spans="2:9" ht="18.75" x14ac:dyDescent="0.3">
      <c r="B191" s="1196" t="s">
        <v>882</v>
      </c>
      <c r="C191" s="528">
        <v>16052</v>
      </c>
      <c r="D191" s="1198" t="s">
        <v>912</v>
      </c>
      <c r="E191" s="1199">
        <v>383</v>
      </c>
      <c r="F191" s="1224"/>
      <c r="G191"/>
      <c r="H191"/>
      <c r="I191"/>
    </row>
    <row r="192" spans="2:9" ht="18.75" x14ac:dyDescent="0.3">
      <c r="B192" s="1196"/>
      <c r="C192" s="528"/>
      <c r="D192" s="1198" t="s">
        <v>915</v>
      </c>
      <c r="E192" s="1199">
        <v>56335</v>
      </c>
      <c r="F192" s="1224"/>
      <c r="G192"/>
      <c r="H192"/>
      <c r="I192"/>
    </row>
    <row r="193" spans="2:9" ht="18.75" x14ac:dyDescent="0.3">
      <c r="B193" s="1196"/>
      <c r="C193" s="1235"/>
      <c r="D193" s="1198"/>
      <c r="E193" s="1236"/>
      <c r="F193" s="1224"/>
      <c r="G193"/>
      <c r="H193"/>
      <c r="I193"/>
    </row>
    <row r="194" spans="2:9" ht="18.75" x14ac:dyDescent="0.3">
      <c r="B194" s="1225"/>
      <c r="C194" s="1226"/>
      <c r="D194" s="1227"/>
      <c r="E194" s="1228"/>
      <c r="F194" s="1229"/>
      <c r="G194"/>
      <c r="H194"/>
      <c r="I194"/>
    </row>
    <row r="195" spans="2:9" ht="19.5" thickBot="1" x14ac:dyDescent="0.35">
      <c r="B195" s="1230"/>
      <c r="C195" s="1231">
        <f>SUM(C190:C194)</f>
        <v>111405</v>
      </c>
      <c r="D195" s="1232"/>
      <c r="E195" s="1233">
        <f>SUM(E190:E194)</f>
        <v>88357</v>
      </c>
      <c r="F195" s="1234">
        <f>+F188+C195-E195</f>
        <v>-191324</v>
      </c>
      <c r="G195"/>
      <c r="H195"/>
      <c r="I195"/>
    </row>
    <row r="196" spans="2:9" s="591" customFormat="1" ht="37.5" customHeight="1" thickBot="1" x14ac:dyDescent="0.35">
      <c r="B196" s="1186" t="s">
        <v>821</v>
      </c>
      <c r="C196" s="1187" t="s">
        <v>822</v>
      </c>
      <c r="D196" s="1188" t="s">
        <v>823</v>
      </c>
      <c r="E196" s="1189" t="s">
        <v>824</v>
      </c>
      <c r="F196" s="1190" t="s">
        <v>825</v>
      </c>
      <c r="G196" s="592"/>
    </row>
    <row r="197" spans="2:9" ht="18.75" x14ac:dyDescent="0.3">
      <c r="B197" s="1214" t="s">
        <v>920</v>
      </c>
      <c r="C197" s="1215"/>
      <c r="D197" s="1216"/>
      <c r="E197" s="1217"/>
      <c r="F197" s="1223"/>
      <c r="G197"/>
      <c r="H197"/>
      <c r="I197"/>
    </row>
    <row r="198" spans="2:9" ht="18.75" x14ac:dyDescent="0.3">
      <c r="B198" s="1196" t="s">
        <v>881</v>
      </c>
      <c r="C198" s="1210">
        <v>44466</v>
      </c>
      <c r="D198" s="1222" t="s">
        <v>910</v>
      </c>
      <c r="E198" s="1199">
        <v>29314</v>
      </c>
      <c r="F198" s="1224"/>
      <c r="G198"/>
      <c r="H198"/>
      <c r="I198"/>
    </row>
    <row r="199" spans="2:9" ht="18.75" x14ac:dyDescent="0.3">
      <c r="B199" s="1196" t="s">
        <v>882</v>
      </c>
      <c r="C199" s="528">
        <v>10823</v>
      </c>
      <c r="D199" s="1198" t="s">
        <v>915</v>
      </c>
      <c r="E199" s="1199">
        <v>36529</v>
      </c>
      <c r="F199" s="1224"/>
      <c r="G199"/>
      <c r="H199"/>
      <c r="I199"/>
    </row>
    <row r="200" spans="2:9" ht="18.75" x14ac:dyDescent="0.3">
      <c r="B200" s="1196"/>
      <c r="C200" s="1235"/>
      <c r="D200" s="1198"/>
      <c r="E200" s="1236"/>
      <c r="F200" s="1224"/>
      <c r="G200"/>
      <c r="H200"/>
      <c r="I200"/>
    </row>
    <row r="201" spans="2:9" ht="18.75" x14ac:dyDescent="0.3">
      <c r="B201" s="1225"/>
      <c r="C201" s="1226"/>
      <c r="D201" s="1227"/>
      <c r="E201" s="1228"/>
      <c r="F201" s="1229"/>
      <c r="G201"/>
      <c r="H201"/>
      <c r="I201"/>
    </row>
    <row r="202" spans="2:9" ht="19.5" thickBot="1" x14ac:dyDescent="0.35">
      <c r="B202" s="1230"/>
      <c r="C202" s="1231">
        <f>SUM(C198:C201)</f>
        <v>55289</v>
      </c>
      <c r="D202" s="1232"/>
      <c r="E202" s="1233">
        <f>SUM(E198:E201)</f>
        <v>65843</v>
      </c>
      <c r="F202" s="1234">
        <f>+F195+C202-E202</f>
        <v>-201878</v>
      </c>
      <c r="G202"/>
      <c r="H202"/>
      <c r="I202"/>
    </row>
    <row r="203" spans="2:9" ht="18.75" x14ac:dyDescent="0.3">
      <c r="B203" s="1214" t="s">
        <v>921</v>
      </c>
      <c r="C203" s="1215"/>
      <c r="D203" s="1216"/>
      <c r="E203" s="1217"/>
      <c r="F203" s="1223"/>
      <c r="G203"/>
      <c r="H203"/>
      <c r="I203"/>
    </row>
    <row r="204" spans="2:9" ht="18.75" x14ac:dyDescent="0.3">
      <c r="B204" s="1196" t="s">
        <v>881</v>
      </c>
      <c r="C204" s="1210">
        <v>82343</v>
      </c>
      <c r="D204" s="1222" t="s">
        <v>910</v>
      </c>
      <c r="E204" s="1199">
        <v>29269</v>
      </c>
      <c r="F204" s="1224"/>
      <c r="G204"/>
      <c r="H204"/>
      <c r="I204"/>
    </row>
    <row r="205" spans="2:9" ht="18.75" x14ac:dyDescent="0.3">
      <c r="B205" s="1196" t="s">
        <v>882</v>
      </c>
      <c r="C205" s="528">
        <v>9185</v>
      </c>
      <c r="D205" s="1198" t="s">
        <v>915</v>
      </c>
      <c r="E205" s="1199">
        <v>58546</v>
      </c>
      <c r="F205" s="1224"/>
      <c r="G205"/>
      <c r="H205"/>
      <c r="I205"/>
    </row>
    <row r="206" spans="2:9" ht="18.75" x14ac:dyDescent="0.3">
      <c r="B206" s="1196"/>
      <c r="C206" s="1235"/>
      <c r="D206" s="1198"/>
      <c r="E206" s="1236"/>
      <c r="F206" s="1224"/>
      <c r="G206"/>
      <c r="H206"/>
      <c r="I206"/>
    </row>
    <row r="207" spans="2:9" ht="18.75" x14ac:dyDescent="0.3">
      <c r="B207" s="1225"/>
      <c r="C207" s="1226"/>
      <c r="D207" s="1227"/>
      <c r="E207" s="1228"/>
      <c r="F207" s="1229"/>
      <c r="G207"/>
      <c r="H207"/>
      <c r="I207"/>
    </row>
    <row r="208" spans="2:9" ht="19.5" thickBot="1" x14ac:dyDescent="0.35">
      <c r="B208" s="1230"/>
      <c r="C208" s="1231">
        <f>SUM(C204:C207)</f>
        <v>91528</v>
      </c>
      <c r="D208" s="1232"/>
      <c r="E208" s="1233">
        <f>SUM(E204:E207)</f>
        <v>87815</v>
      </c>
      <c r="F208" s="1234">
        <f>+F202+C208-E208</f>
        <v>-198165</v>
      </c>
      <c r="G208"/>
      <c r="H208"/>
      <c r="I208"/>
    </row>
    <row r="209" spans="2:9" ht="18.75" x14ac:dyDescent="0.3">
      <c r="B209" s="1214" t="s">
        <v>922</v>
      </c>
      <c r="C209" s="1215"/>
      <c r="D209" s="1216"/>
      <c r="E209" s="1217"/>
      <c r="F209" s="1223"/>
      <c r="G209"/>
      <c r="H209"/>
      <c r="I209"/>
    </row>
    <row r="210" spans="2:9" ht="18.75" x14ac:dyDescent="0.3">
      <c r="B210" s="1196" t="s">
        <v>881</v>
      </c>
      <c r="C210" s="1210">
        <v>21600</v>
      </c>
      <c r="D210" s="1222" t="s">
        <v>910</v>
      </c>
      <c r="E210" s="1199">
        <v>55783</v>
      </c>
      <c r="F210" s="1224"/>
      <c r="G210"/>
      <c r="H210"/>
      <c r="I210"/>
    </row>
    <row r="211" spans="2:9" ht="18.75" x14ac:dyDescent="0.3">
      <c r="B211" s="1196" t="s">
        <v>882</v>
      </c>
      <c r="C211" s="528">
        <v>6186</v>
      </c>
      <c r="D211" s="1198" t="s">
        <v>915</v>
      </c>
      <c r="E211" s="1199">
        <v>11534</v>
      </c>
      <c r="F211" s="1224"/>
      <c r="G211"/>
      <c r="H211"/>
      <c r="I211"/>
    </row>
    <row r="212" spans="2:9" ht="18.75" x14ac:dyDescent="0.3">
      <c r="B212" s="1196"/>
      <c r="C212" s="1235"/>
      <c r="D212" s="1198"/>
      <c r="E212" s="1236"/>
      <c r="F212" s="1224"/>
      <c r="G212"/>
      <c r="H212"/>
      <c r="I212"/>
    </row>
    <row r="213" spans="2:9" ht="18.75" x14ac:dyDescent="0.3">
      <c r="B213" s="1225"/>
      <c r="C213" s="1226"/>
      <c r="D213" s="1227"/>
      <c r="E213" s="1228"/>
      <c r="F213" s="1229"/>
      <c r="G213"/>
      <c r="H213"/>
      <c r="I213"/>
    </row>
    <row r="214" spans="2:9" ht="19.5" thickBot="1" x14ac:dyDescent="0.35">
      <c r="B214" s="1230"/>
      <c r="C214" s="1231">
        <f>SUM(C210:C213)</f>
        <v>27786</v>
      </c>
      <c r="D214" s="1232"/>
      <c r="E214" s="1233">
        <f>SUM(E210:E213)</f>
        <v>67317</v>
      </c>
      <c r="F214" s="1234">
        <f>+F208+C214-E214</f>
        <v>-237696</v>
      </c>
      <c r="G214"/>
      <c r="H214"/>
      <c r="I214"/>
    </row>
    <row r="215" spans="2:9" ht="18.75" x14ac:dyDescent="0.3">
      <c r="B215" s="1214" t="s">
        <v>693</v>
      </c>
      <c r="C215" s="1215"/>
      <c r="D215" s="1216"/>
      <c r="E215" s="1217"/>
      <c r="F215" s="1223"/>
    </row>
    <row r="216" spans="2:9" ht="18.75" x14ac:dyDescent="0.3">
      <c r="B216" s="1196" t="s">
        <v>881</v>
      </c>
      <c r="C216" s="1210">
        <v>93960</v>
      </c>
      <c r="D216" s="1222" t="s">
        <v>910</v>
      </c>
      <c r="E216" s="1237">
        <v>52136</v>
      </c>
      <c r="F216" s="1224"/>
    </row>
    <row r="217" spans="2:9" ht="18.75" x14ac:dyDescent="0.3">
      <c r="B217" s="1196" t="s">
        <v>882</v>
      </c>
      <c r="C217" s="528">
        <v>3887</v>
      </c>
      <c r="D217" s="1198" t="s">
        <v>915</v>
      </c>
      <c r="E217" s="1199">
        <v>18742</v>
      </c>
      <c r="F217" s="1224"/>
    </row>
    <row r="218" spans="2:9" ht="18.75" x14ac:dyDescent="0.3">
      <c r="B218" s="1196"/>
      <c r="C218" s="1235"/>
      <c r="D218" s="1198"/>
      <c r="E218" s="1236"/>
      <c r="F218" s="1224"/>
    </row>
    <row r="219" spans="2:9" ht="18.75" x14ac:dyDescent="0.3">
      <c r="B219" s="1225"/>
      <c r="C219" s="1226"/>
      <c r="D219" s="1227"/>
      <c r="E219" s="1228"/>
      <c r="F219" s="1229"/>
    </row>
    <row r="220" spans="2:9" ht="19.5" thickBot="1" x14ac:dyDescent="0.35">
      <c r="B220" s="1230"/>
      <c r="C220" s="1231">
        <f>SUM(C216:C219)</f>
        <v>97847</v>
      </c>
      <c r="D220" s="1232"/>
      <c r="E220" s="1233">
        <f>SUM(E216:E219)</f>
        <v>70878</v>
      </c>
      <c r="F220" s="1234">
        <f>+F214+C220-E220</f>
        <v>-210727</v>
      </c>
    </row>
    <row r="221" spans="2:9" ht="18.75" x14ac:dyDescent="0.3">
      <c r="B221" s="1214" t="s">
        <v>694</v>
      </c>
      <c r="C221" s="1215"/>
      <c r="D221" s="1216"/>
      <c r="E221" s="1217"/>
      <c r="F221" s="1223"/>
    </row>
    <row r="222" spans="2:9" ht="18.75" x14ac:dyDescent="0.3">
      <c r="B222" s="1196" t="s">
        <v>881</v>
      </c>
      <c r="C222" s="1210">
        <v>17500</v>
      </c>
      <c r="D222" s="1222" t="s">
        <v>910</v>
      </c>
      <c r="E222" s="1237">
        <v>41976</v>
      </c>
      <c r="F222" s="1224"/>
    </row>
    <row r="223" spans="2:9" ht="18.75" x14ac:dyDescent="0.3">
      <c r="B223" s="1196" t="s">
        <v>882</v>
      </c>
      <c r="C223" s="528">
        <v>2005</v>
      </c>
      <c r="D223" s="1198" t="s">
        <v>915</v>
      </c>
      <c r="E223" s="1199">
        <v>0</v>
      </c>
      <c r="F223" s="1224"/>
    </row>
    <row r="224" spans="2:9" ht="18.75" x14ac:dyDescent="0.3">
      <c r="B224" s="1196"/>
      <c r="C224" s="1235"/>
      <c r="D224" s="1198"/>
      <c r="E224" s="1236"/>
      <c r="F224" s="1224"/>
    </row>
    <row r="225" spans="2:6" ht="18.75" x14ac:dyDescent="0.3">
      <c r="B225" s="1225"/>
      <c r="C225" s="1226"/>
      <c r="D225" s="1227"/>
      <c r="E225" s="1228"/>
      <c r="F225" s="1229"/>
    </row>
    <row r="226" spans="2:6" ht="19.5" thickBot="1" x14ac:dyDescent="0.35">
      <c r="B226" s="1230"/>
      <c r="C226" s="1231">
        <f>SUM(C222:C225)</f>
        <v>19505</v>
      </c>
      <c r="D226" s="1232"/>
      <c r="E226" s="1233">
        <f>SUM(E222:E225)</f>
        <v>41976</v>
      </c>
      <c r="F226" s="1234">
        <f>+F220+C226-E226</f>
        <v>-233198</v>
      </c>
    </row>
    <row r="227" spans="2:6" x14ac:dyDescent="0.2">
      <c r="C227" s="590"/>
      <c r="E227" s="590"/>
    </row>
    <row r="228" spans="2:6" x14ac:dyDescent="0.2">
      <c r="C228" s="590"/>
      <c r="E228" s="590"/>
    </row>
    <row r="229" spans="2:6" x14ac:dyDescent="0.2">
      <c r="C229" s="590"/>
      <c r="E229" s="590"/>
    </row>
    <row r="230" spans="2:6" x14ac:dyDescent="0.2">
      <c r="C230" s="590"/>
      <c r="E230" s="590"/>
    </row>
    <row r="231" spans="2:6" x14ac:dyDescent="0.2">
      <c r="C231" s="590"/>
      <c r="E231" s="590"/>
    </row>
    <row r="232" spans="2:6" x14ac:dyDescent="0.2">
      <c r="C232" s="590"/>
      <c r="E232" s="590"/>
    </row>
  </sheetData>
  <mergeCells count="6">
    <mergeCell ref="B8:F8"/>
    <mergeCell ref="B3:F3"/>
    <mergeCell ref="B4:F4"/>
    <mergeCell ref="B5:F5"/>
    <mergeCell ref="B6:F6"/>
    <mergeCell ref="B7:F7"/>
  </mergeCells>
  <printOptions horizontalCentered="1" verticalCentered="1"/>
  <pageMargins left="0.19685039370078741" right="0.19685039370078741" top="0.19685039370078741" bottom="0.19685039370078741" header="0" footer="0.31496062992125984"/>
  <pageSetup paperSize="9" scale="59" orientation="portrait" r:id="rId1"/>
  <headerFooter alignWithMargins="0">
    <oddHeader>&amp;C &amp;R&amp;"-,Félkövér"&amp;11 25. melléklet a 13/2023. (V.26.) önkormányzati rendelethez</oddHeader>
    <oddFooter xml:space="preserve">&amp;C </oddFooter>
  </headerFooter>
  <rowBreaks count="3" manualBreakCount="3">
    <brk id="70" min="1" max="5" man="1"/>
    <brk id="134" min="1" max="5" man="1"/>
    <brk id="195" min="1" max="5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8A63E-2160-4E7C-BB5D-47540C157B62}">
  <dimension ref="B2:I32"/>
  <sheetViews>
    <sheetView view="pageLayout" topLeftCell="A69" zoomScaleNormal="75" workbookViewId="0">
      <selection activeCell="E76" sqref="E76"/>
    </sheetView>
  </sheetViews>
  <sheetFormatPr defaultColWidth="12" defaultRowHeight="15" x14ac:dyDescent="0.2"/>
  <cols>
    <col min="1" max="1" width="3.6640625" style="596" customWidth="1"/>
    <col min="2" max="2" width="6.6640625" style="596" customWidth="1"/>
    <col min="3" max="4" width="12" style="596" customWidth="1"/>
    <col min="5" max="5" width="111.33203125" style="596" customWidth="1"/>
    <col min="6" max="6" width="22.5" style="597" customWidth="1"/>
    <col min="7" max="7" width="24.83203125" style="596" customWidth="1"/>
    <col min="8" max="16384" width="12" style="596"/>
  </cols>
  <sheetData>
    <row r="2" spans="2:9" ht="18" x14ac:dyDescent="0.25">
      <c r="G2" s="598"/>
    </row>
    <row r="3" spans="2:9" ht="24" customHeight="1" x14ac:dyDescent="0.3">
      <c r="B3" s="2133" t="s">
        <v>923</v>
      </c>
      <c r="C3" s="2133"/>
      <c r="D3" s="2133"/>
      <c r="E3" s="2133"/>
      <c r="F3" s="2133"/>
      <c r="G3" s="2133"/>
    </row>
    <row r="4" spans="2:9" ht="24.75" customHeight="1" x14ac:dyDescent="0.3">
      <c r="B4" s="2133" t="s">
        <v>1195</v>
      </c>
      <c r="C4" s="2133"/>
      <c r="D4" s="2133"/>
      <c r="E4" s="2133"/>
      <c r="F4" s="2133"/>
      <c r="G4" s="2133"/>
    </row>
    <row r="5" spans="2:9" ht="18.75" x14ac:dyDescent="0.3">
      <c r="B5" s="1238"/>
      <c r="C5" s="1238"/>
      <c r="D5" s="1239"/>
      <c r="E5" s="1239"/>
      <c r="F5" s="1240"/>
      <c r="G5" s="1238"/>
    </row>
    <row r="6" spans="2:9" ht="19.5" thickBot="1" x14ac:dyDescent="0.35">
      <c r="B6" s="1238"/>
      <c r="C6" s="1238" t="s">
        <v>57</v>
      </c>
      <c r="D6" s="1238"/>
      <c r="E6" s="1238"/>
      <c r="F6" s="1241" t="s">
        <v>57</v>
      </c>
      <c r="G6" s="1242" t="s">
        <v>17</v>
      </c>
    </row>
    <row r="7" spans="2:9" s="599" customFormat="1" ht="18.75" x14ac:dyDescent="0.3">
      <c r="B7" s="770"/>
      <c r="C7" s="771" t="s">
        <v>57</v>
      </c>
      <c r="D7" s="771" t="s">
        <v>57</v>
      </c>
      <c r="E7" s="771"/>
      <c r="F7" s="772" t="s">
        <v>57</v>
      </c>
      <c r="G7" s="773"/>
    </row>
    <row r="8" spans="2:9" s="599" customFormat="1" ht="18" customHeight="1" x14ac:dyDescent="0.3">
      <c r="B8" s="2134" t="s">
        <v>31</v>
      </c>
      <c r="C8" s="2133"/>
      <c r="D8" s="2133"/>
      <c r="E8" s="2133"/>
      <c r="F8" s="2135" t="s">
        <v>924</v>
      </c>
      <c r="G8" s="2136"/>
    </row>
    <row r="9" spans="2:9" s="599" customFormat="1" ht="38.25" customHeight="1" thickBot="1" x14ac:dyDescent="0.35">
      <c r="B9" s="774"/>
      <c r="C9" s="775"/>
      <c r="D9" s="775"/>
      <c r="E9" s="775"/>
      <c r="F9" s="776" t="s">
        <v>822</v>
      </c>
      <c r="G9" s="777" t="s">
        <v>925</v>
      </c>
    </row>
    <row r="10" spans="2:9" s="599" customFormat="1" ht="30.75" customHeight="1" x14ac:dyDescent="0.3">
      <c r="B10" s="778" t="s">
        <v>182</v>
      </c>
      <c r="C10" s="779" t="s">
        <v>926</v>
      </c>
      <c r="D10" s="780"/>
      <c r="E10" s="780"/>
      <c r="F10" s="781">
        <v>0</v>
      </c>
      <c r="G10" s="782">
        <f t="shared" ref="G10:G18" si="0">F10/F$18*100</f>
        <v>0</v>
      </c>
    </row>
    <row r="11" spans="2:9" s="599" customFormat="1" ht="31.5" customHeight="1" thickBot="1" x14ac:dyDescent="0.35">
      <c r="B11" s="783" t="s">
        <v>35</v>
      </c>
      <c r="C11" s="784" t="s">
        <v>927</v>
      </c>
      <c r="D11" s="784"/>
      <c r="E11" s="784"/>
      <c r="F11" s="785">
        <f>SUM(F10:F10)</f>
        <v>0</v>
      </c>
      <c r="G11" s="786">
        <f t="shared" si="0"/>
        <v>0</v>
      </c>
    </row>
    <row r="12" spans="2:9" s="603" customFormat="1" ht="22.5" customHeight="1" x14ac:dyDescent="0.3">
      <c r="B12" s="778" t="s">
        <v>183</v>
      </c>
      <c r="C12" s="780" t="s">
        <v>928</v>
      </c>
      <c r="D12" s="780"/>
      <c r="E12" s="780"/>
      <c r="F12" s="781">
        <v>0</v>
      </c>
      <c r="G12" s="782">
        <f t="shared" si="0"/>
        <v>0</v>
      </c>
      <c r="H12" s="602"/>
      <c r="I12" s="602"/>
    </row>
    <row r="13" spans="2:9" s="599" customFormat="1" ht="32.25" customHeight="1" thickBot="1" x14ac:dyDescent="0.35">
      <c r="B13" s="783" t="s">
        <v>184</v>
      </c>
      <c r="C13" s="787" t="s">
        <v>929</v>
      </c>
      <c r="D13" s="787"/>
      <c r="E13" s="787"/>
      <c r="F13" s="788">
        <f>SUM(F12:F12)</f>
        <v>0</v>
      </c>
      <c r="G13" s="786">
        <f t="shared" si="0"/>
        <v>0</v>
      </c>
    </row>
    <row r="14" spans="2:9" s="603" customFormat="1" ht="30.75" customHeight="1" x14ac:dyDescent="0.3">
      <c r="B14" s="789" t="s">
        <v>186</v>
      </c>
      <c r="C14" s="780" t="s">
        <v>930</v>
      </c>
      <c r="D14" s="780"/>
      <c r="E14" s="780"/>
      <c r="F14" s="790">
        <v>20695</v>
      </c>
      <c r="G14" s="791">
        <f t="shared" si="0"/>
        <v>17.29613626296479</v>
      </c>
      <c r="H14" s="602"/>
      <c r="I14" s="602"/>
    </row>
    <row r="15" spans="2:9" s="599" customFormat="1" ht="30.75" customHeight="1" x14ac:dyDescent="0.3">
      <c r="B15" s="778" t="s">
        <v>384</v>
      </c>
      <c r="C15" s="2130" t="s">
        <v>931</v>
      </c>
      <c r="D15" s="2131"/>
      <c r="E15" s="2132"/>
      <c r="F15" s="790">
        <v>98956</v>
      </c>
      <c r="G15" s="782">
        <f t="shared" si="0"/>
        <v>82.703863737035206</v>
      </c>
      <c r="H15" s="602"/>
      <c r="I15" s="602"/>
    </row>
    <row r="16" spans="2:9" s="599" customFormat="1" ht="42.75" customHeight="1" x14ac:dyDescent="0.3">
      <c r="B16" s="778" t="s">
        <v>932</v>
      </c>
      <c r="C16" s="2130" t="s">
        <v>933</v>
      </c>
      <c r="D16" s="2131"/>
      <c r="E16" s="2132"/>
      <c r="F16" s="781">
        <v>0</v>
      </c>
      <c r="G16" s="782">
        <f t="shared" si="0"/>
        <v>0</v>
      </c>
      <c r="H16" s="602"/>
      <c r="I16" s="602"/>
    </row>
    <row r="17" spans="2:7" s="599" customFormat="1" ht="32.25" customHeight="1" thickBot="1" x14ac:dyDescent="0.35">
      <c r="B17" s="783" t="s">
        <v>934</v>
      </c>
      <c r="C17" s="787" t="s">
        <v>935</v>
      </c>
      <c r="D17" s="787"/>
      <c r="E17" s="787"/>
      <c r="F17" s="788">
        <f>SUM(F14:F16)</f>
        <v>119651</v>
      </c>
      <c r="G17" s="786">
        <f t="shared" si="0"/>
        <v>100</v>
      </c>
    </row>
    <row r="18" spans="2:7" s="599" customFormat="1" ht="32.25" customHeight="1" thickBot="1" x14ac:dyDescent="0.35">
      <c r="B18" s="783" t="s">
        <v>936</v>
      </c>
      <c r="C18" s="787" t="s">
        <v>937</v>
      </c>
      <c r="D18" s="787"/>
      <c r="E18" s="787"/>
      <c r="F18" s="788">
        <f>+F11+F13+F17</f>
        <v>119651</v>
      </c>
      <c r="G18" s="786">
        <f t="shared" si="0"/>
        <v>100</v>
      </c>
    </row>
    <row r="19" spans="2:7" s="599" customFormat="1" ht="23.1" customHeight="1" x14ac:dyDescent="0.25">
      <c r="F19" s="601"/>
      <c r="G19" s="600"/>
    </row>
    <row r="20" spans="2:7" s="599" customFormat="1" ht="23.1" customHeight="1" x14ac:dyDescent="0.25">
      <c r="B20" s="596"/>
      <c r="C20" s="596"/>
      <c r="D20" s="596"/>
      <c r="E20" s="596"/>
      <c r="F20" s="597"/>
      <c r="G20" s="597"/>
    </row>
    <row r="21" spans="2:7" s="599" customFormat="1" ht="23.1" customHeight="1" x14ac:dyDescent="0.25">
      <c r="B21" s="596"/>
      <c r="C21" s="596"/>
      <c r="D21" s="596"/>
      <c r="E21" s="596"/>
      <c r="F21" s="597"/>
      <c r="G21" s="597"/>
    </row>
    <row r="22" spans="2:7" s="599" customFormat="1" ht="23.1" customHeight="1" x14ac:dyDescent="0.25">
      <c r="B22" s="596"/>
      <c r="C22" s="596"/>
      <c r="D22" s="596"/>
      <c r="E22" s="596"/>
      <c r="F22" s="597"/>
      <c r="G22" s="597"/>
    </row>
    <row r="23" spans="2:7" s="599" customFormat="1" ht="29.25" customHeight="1" x14ac:dyDescent="0.25">
      <c r="B23" s="596"/>
      <c r="C23" s="596"/>
      <c r="D23" s="596"/>
      <c r="E23" s="596"/>
      <c r="F23" s="597"/>
      <c r="G23" s="597"/>
    </row>
    <row r="24" spans="2:7" ht="20.100000000000001" customHeight="1" x14ac:dyDescent="0.2">
      <c r="G24" s="597"/>
    </row>
    <row r="25" spans="2:7" ht="20.100000000000001" customHeight="1" x14ac:dyDescent="0.2">
      <c r="G25" s="597"/>
    </row>
    <row r="26" spans="2:7" ht="20.100000000000001" customHeight="1" x14ac:dyDescent="0.2">
      <c r="G26" s="597"/>
    </row>
    <row r="27" spans="2:7" ht="30.75" customHeight="1" x14ac:dyDescent="0.2">
      <c r="G27" s="597"/>
    </row>
    <row r="28" spans="2:7" ht="20.100000000000001" customHeight="1" x14ac:dyDescent="0.2">
      <c r="G28" s="597"/>
    </row>
    <row r="29" spans="2:7" ht="14.25" customHeight="1" x14ac:dyDescent="0.2">
      <c r="G29" s="597"/>
    </row>
    <row r="30" spans="2:7" x14ac:dyDescent="0.2">
      <c r="G30" s="597"/>
    </row>
    <row r="31" spans="2:7" x14ac:dyDescent="0.2">
      <c r="G31" s="597"/>
    </row>
    <row r="32" spans="2:7" x14ac:dyDescent="0.2">
      <c r="G32" s="597"/>
    </row>
  </sheetData>
  <mergeCells count="6">
    <mergeCell ref="C16:E16"/>
    <mergeCell ref="B3:G3"/>
    <mergeCell ref="B4:G4"/>
    <mergeCell ref="B8:E8"/>
    <mergeCell ref="F8:G8"/>
    <mergeCell ref="C15:E15"/>
  </mergeCells>
  <printOptions horizontalCentered="1" verticalCentered="1"/>
  <pageMargins left="0.39370078740157483" right="0.39370078740157483" top="0.59055118110236227" bottom="0.59055118110236227" header="0.11811023622047245" footer="0.11811023622047245"/>
  <pageSetup paperSize="9" scale="62" orientation="portrait" r:id="rId1"/>
  <headerFooter alignWithMargins="0">
    <oddHeader xml:space="preserve">&amp;R&amp;"Arial,Félkövér"&amp;11   26. melléklet a 13/2023. (V.26.) önkormányzati rendelethez
 </oddHeader>
    <oddFooter xml:space="preserve">&amp;C 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DD9A2-2B6E-4D13-904E-202DE927830A}">
  <dimension ref="A2:O41"/>
  <sheetViews>
    <sheetView view="pageLayout" topLeftCell="A109" zoomScaleNormal="100" workbookViewId="0">
      <selection activeCell="K135" sqref="K135"/>
    </sheetView>
  </sheetViews>
  <sheetFormatPr defaultColWidth="10.6640625" defaultRowHeight="12.75" x14ac:dyDescent="0.2"/>
  <cols>
    <col min="1" max="1" width="4.33203125" style="604" customWidth="1"/>
    <col min="2" max="2" width="5.5" style="604" customWidth="1"/>
    <col min="3" max="3" width="10.6640625" style="604" customWidth="1"/>
    <col min="4" max="4" width="48.6640625" style="604" customWidth="1"/>
    <col min="5" max="5" width="18.1640625" style="604" customWidth="1"/>
    <col min="6" max="7" width="12.5" style="604" customWidth="1"/>
    <col min="8" max="8" width="13.6640625" style="604" customWidth="1"/>
    <col min="9" max="9" width="20.33203125" style="604" customWidth="1"/>
    <col min="10" max="10" width="13.6640625" style="604" customWidth="1"/>
    <col min="11" max="11" width="20.33203125" style="604" customWidth="1"/>
    <col min="12" max="12" width="10.6640625" style="604"/>
    <col min="13" max="13" width="11.83203125" style="604" bestFit="1" customWidth="1"/>
    <col min="14" max="14" width="10.6640625" style="604"/>
    <col min="15" max="15" width="13" style="604" customWidth="1"/>
    <col min="16" max="16384" width="10.6640625" style="604"/>
  </cols>
  <sheetData>
    <row r="2" spans="1:11" ht="21" customHeight="1" x14ac:dyDescent="0.3">
      <c r="A2" s="2157" t="s">
        <v>1191</v>
      </c>
      <c r="B2" s="2157"/>
      <c r="C2" s="2157"/>
      <c r="D2" s="2157"/>
      <c r="E2" s="2157"/>
      <c r="F2" s="2157"/>
      <c r="G2" s="2157"/>
      <c r="H2" s="2157"/>
      <c r="I2" s="2157"/>
      <c r="J2" s="2157"/>
      <c r="K2" s="2157"/>
    </row>
    <row r="3" spans="1:11" ht="18" x14ac:dyDescent="0.25">
      <c r="A3" s="1243"/>
      <c r="B3" s="1243"/>
      <c r="C3" s="1243"/>
      <c r="D3" s="1243"/>
      <c r="E3" s="1243"/>
      <c r="F3" s="1243"/>
      <c r="G3" s="1243"/>
      <c r="H3" s="1243"/>
      <c r="I3" s="1243"/>
      <c r="J3" s="1243"/>
      <c r="K3" s="1243"/>
    </row>
    <row r="4" spans="1:11" ht="18.75" thickBot="1" x14ac:dyDescent="0.3">
      <c r="A4" s="2158"/>
      <c r="B4" s="2158"/>
      <c r="C4" s="2158"/>
      <c r="D4" s="2158"/>
      <c r="E4" s="2158"/>
      <c r="F4" s="2158"/>
      <c r="G4" s="2158"/>
      <c r="H4" s="2158"/>
      <c r="I4" s="2158"/>
      <c r="J4" s="2158"/>
      <c r="K4" s="1244"/>
    </row>
    <row r="5" spans="1:11" ht="15.75" x14ac:dyDescent="0.25">
      <c r="A5" s="2159" t="s">
        <v>667</v>
      </c>
      <c r="B5" s="2160"/>
      <c r="C5" s="2165" t="s">
        <v>31</v>
      </c>
      <c r="D5" s="2160"/>
      <c r="E5" s="2168" t="s">
        <v>938</v>
      </c>
      <c r="F5" s="2169"/>
      <c r="G5" s="2169"/>
      <c r="H5" s="2169"/>
      <c r="I5" s="2169"/>
      <c r="J5" s="2169"/>
      <c r="K5" s="2170"/>
    </row>
    <row r="6" spans="1:11" ht="15.75" x14ac:dyDescent="0.25">
      <c r="A6" s="2161"/>
      <c r="B6" s="2162"/>
      <c r="C6" s="2166"/>
      <c r="D6" s="2162"/>
      <c r="E6" s="2171" t="s">
        <v>939</v>
      </c>
      <c r="F6" s="2172"/>
      <c r="G6" s="2173"/>
      <c r="H6" s="2171" t="s">
        <v>940</v>
      </c>
      <c r="I6" s="2172"/>
      <c r="J6" s="2172"/>
      <c r="K6" s="2174"/>
    </row>
    <row r="7" spans="1:11" ht="15.75" x14ac:dyDescent="0.25">
      <c r="A7" s="2161"/>
      <c r="B7" s="2162"/>
      <c r="C7" s="2166"/>
      <c r="D7" s="2162"/>
      <c r="E7" s="2175" t="s">
        <v>941</v>
      </c>
      <c r="F7" s="2177" t="s">
        <v>942</v>
      </c>
      <c r="G7" s="2178"/>
      <c r="H7" s="2181" t="s">
        <v>943</v>
      </c>
      <c r="I7" s="2182"/>
      <c r="J7" s="2177" t="s">
        <v>944</v>
      </c>
      <c r="K7" s="2183"/>
    </row>
    <row r="8" spans="1:11" ht="15.75" x14ac:dyDescent="0.25">
      <c r="A8" s="2161"/>
      <c r="B8" s="2162"/>
      <c r="C8" s="2166"/>
      <c r="D8" s="2162"/>
      <c r="E8" s="2176"/>
      <c r="F8" s="2179"/>
      <c r="G8" s="2180"/>
      <c r="H8" s="2185" t="s">
        <v>945</v>
      </c>
      <c r="I8" s="2186"/>
      <c r="J8" s="2179"/>
      <c r="K8" s="2184"/>
    </row>
    <row r="9" spans="1:11" ht="15.75" x14ac:dyDescent="0.25">
      <c r="A9" s="2161"/>
      <c r="B9" s="2162"/>
      <c r="C9" s="2166"/>
      <c r="D9" s="2162"/>
      <c r="E9" s="1715" t="s">
        <v>946</v>
      </c>
      <c r="F9" s="1715" t="s">
        <v>947</v>
      </c>
      <c r="G9" s="1715" t="s">
        <v>948</v>
      </c>
      <c r="H9" s="1715" t="s">
        <v>949</v>
      </c>
      <c r="I9" s="1715" t="s">
        <v>950</v>
      </c>
      <c r="J9" s="1715" t="s">
        <v>949</v>
      </c>
      <c r="K9" s="1716" t="s">
        <v>950</v>
      </c>
    </row>
    <row r="10" spans="1:11" ht="16.5" thickBot="1" x14ac:dyDescent="0.3">
      <c r="A10" s="2163"/>
      <c r="B10" s="2164"/>
      <c r="C10" s="2167"/>
      <c r="D10" s="2164"/>
      <c r="E10" s="1717" t="s">
        <v>951</v>
      </c>
      <c r="F10" s="1717" t="s">
        <v>952</v>
      </c>
      <c r="G10" s="1717" t="s">
        <v>953</v>
      </c>
      <c r="H10" s="1717" t="s">
        <v>954</v>
      </c>
      <c r="I10" s="1717" t="s">
        <v>955</v>
      </c>
      <c r="J10" s="1717" t="s">
        <v>956</v>
      </c>
      <c r="K10" s="1718" t="s">
        <v>957</v>
      </c>
    </row>
    <row r="11" spans="1:11" ht="15" customHeight="1" x14ac:dyDescent="0.25">
      <c r="A11" s="2145" t="s">
        <v>958</v>
      </c>
      <c r="B11" s="2153"/>
      <c r="C11" s="2154" t="s">
        <v>959</v>
      </c>
      <c r="D11" s="2155"/>
      <c r="E11" s="1719">
        <v>4105</v>
      </c>
      <c r="F11" s="1720">
        <v>1751</v>
      </c>
      <c r="G11" s="1719">
        <v>2735</v>
      </c>
      <c r="H11" s="1720">
        <v>4057</v>
      </c>
      <c r="I11" s="1719">
        <v>91438514</v>
      </c>
      <c r="J11" s="1720">
        <v>4091</v>
      </c>
      <c r="K11" s="1721">
        <v>119746113</v>
      </c>
    </row>
    <row r="12" spans="1:11" ht="15" customHeight="1" x14ac:dyDescent="0.25">
      <c r="A12" s="2139" t="s">
        <v>960</v>
      </c>
      <c r="B12" s="2140"/>
      <c r="C12" s="2143" t="s">
        <v>961</v>
      </c>
      <c r="D12" s="2144"/>
      <c r="E12" s="1722">
        <v>10</v>
      </c>
      <c r="F12" s="1723">
        <v>13</v>
      </c>
      <c r="G12" s="1722">
        <v>9520</v>
      </c>
      <c r="H12" s="1723">
        <v>10</v>
      </c>
      <c r="I12" s="1722">
        <v>2140244</v>
      </c>
      <c r="J12" s="1723">
        <v>10</v>
      </c>
      <c r="K12" s="1724">
        <v>2025977</v>
      </c>
    </row>
    <row r="13" spans="1:11" ht="15" customHeight="1" x14ac:dyDescent="0.25">
      <c r="A13" s="2139" t="s">
        <v>962</v>
      </c>
      <c r="B13" s="2140"/>
      <c r="C13" s="2143" t="s">
        <v>963</v>
      </c>
      <c r="D13" s="2144"/>
      <c r="E13" s="1722">
        <v>0</v>
      </c>
      <c r="F13" s="1723">
        <v>0</v>
      </c>
      <c r="G13" s="1722">
        <v>0</v>
      </c>
      <c r="H13" s="1723">
        <v>0</v>
      </c>
      <c r="I13" s="1722">
        <v>0</v>
      </c>
      <c r="J13" s="1723">
        <v>0</v>
      </c>
      <c r="K13" s="1724">
        <v>0</v>
      </c>
    </row>
    <row r="14" spans="1:11" ht="15" customHeight="1" x14ac:dyDescent="0.25">
      <c r="A14" s="2139" t="s">
        <v>964</v>
      </c>
      <c r="B14" s="2140"/>
      <c r="C14" s="2143" t="s">
        <v>965</v>
      </c>
      <c r="D14" s="2144"/>
      <c r="E14" s="1722">
        <v>14</v>
      </c>
      <c r="F14" s="1723"/>
      <c r="G14" s="1722"/>
      <c r="H14" s="1723">
        <v>14</v>
      </c>
      <c r="I14" s="1722">
        <v>23683829</v>
      </c>
      <c r="J14" s="1723">
        <v>14</v>
      </c>
      <c r="K14" s="1724">
        <v>21541524</v>
      </c>
    </row>
    <row r="15" spans="1:11" ht="15" customHeight="1" thickBot="1" x14ac:dyDescent="0.3">
      <c r="A15" s="2147" t="s">
        <v>966</v>
      </c>
      <c r="B15" s="2148"/>
      <c r="C15" s="2149" t="s">
        <v>967</v>
      </c>
      <c r="D15" s="2150"/>
      <c r="E15" s="1725">
        <v>4129</v>
      </c>
      <c r="F15" s="1725">
        <v>1765</v>
      </c>
      <c r="G15" s="1725">
        <v>2255</v>
      </c>
      <c r="H15" s="1725">
        <v>4081</v>
      </c>
      <c r="I15" s="1725">
        <v>117262587</v>
      </c>
      <c r="J15" s="1725">
        <v>4115</v>
      </c>
      <c r="K15" s="1726">
        <v>143313614</v>
      </c>
    </row>
    <row r="16" spans="1:11" ht="15" customHeight="1" x14ac:dyDescent="0.25">
      <c r="A16" s="2151" t="s">
        <v>968</v>
      </c>
      <c r="B16" s="2152"/>
      <c r="C16" s="1727" t="s">
        <v>969</v>
      </c>
      <c r="D16" s="1728"/>
      <c r="E16" s="1729">
        <v>1875</v>
      </c>
      <c r="F16" s="1730">
        <v>693</v>
      </c>
      <c r="G16" s="1729">
        <v>6080</v>
      </c>
      <c r="H16" s="1730">
        <v>1873</v>
      </c>
      <c r="I16" s="1729">
        <v>36475749</v>
      </c>
      <c r="J16" s="1730">
        <v>1866</v>
      </c>
      <c r="K16" s="1731">
        <v>63320258</v>
      </c>
    </row>
    <row r="17" spans="1:15" ht="15" customHeight="1" x14ac:dyDescent="0.25">
      <c r="A17" s="2145" t="s">
        <v>970</v>
      </c>
      <c r="B17" s="2153"/>
      <c r="C17" s="2154" t="s">
        <v>971</v>
      </c>
      <c r="D17" s="2155"/>
      <c r="E17" s="1719">
        <v>0</v>
      </c>
      <c r="F17" s="1720">
        <v>0</v>
      </c>
      <c r="G17" s="1719">
        <v>0</v>
      </c>
      <c r="H17" s="1720">
        <v>0</v>
      </c>
      <c r="I17" s="1719">
        <v>0</v>
      </c>
      <c r="J17" s="1720">
        <v>0</v>
      </c>
      <c r="K17" s="1721">
        <v>0</v>
      </c>
    </row>
    <row r="18" spans="1:15" ht="15" customHeight="1" x14ac:dyDescent="0.25">
      <c r="A18" s="2139" t="s">
        <v>972</v>
      </c>
      <c r="B18" s="2140"/>
      <c r="C18" s="1732" t="s">
        <v>973</v>
      </c>
      <c r="D18" s="1733" t="s">
        <v>974</v>
      </c>
      <c r="E18" s="1722">
        <v>3456</v>
      </c>
      <c r="F18" s="1723">
        <v>891</v>
      </c>
      <c r="G18" s="1722">
        <v>5425</v>
      </c>
      <c r="H18" s="1723">
        <v>3439</v>
      </c>
      <c r="I18" s="1722">
        <v>114654750</v>
      </c>
      <c r="J18" s="1723">
        <v>3442</v>
      </c>
      <c r="K18" s="1724">
        <v>140275349</v>
      </c>
    </row>
    <row r="19" spans="1:15" ht="15" customHeight="1" x14ac:dyDescent="0.25">
      <c r="A19" s="2145" t="s">
        <v>975</v>
      </c>
      <c r="B19" s="2153"/>
      <c r="C19" s="1734" t="s">
        <v>976</v>
      </c>
      <c r="D19" s="1733" t="s">
        <v>977</v>
      </c>
      <c r="E19" s="1722">
        <v>673</v>
      </c>
      <c r="F19" s="1723">
        <v>873</v>
      </c>
      <c r="G19" s="1722">
        <v>6830</v>
      </c>
      <c r="H19" s="1723">
        <v>642</v>
      </c>
      <c r="I19" s="1722">
        <v>2607837</v>
      </c>
      <c r="J19" s="1723">
        <v>673</v>
      </c>
      <c r="K19" s="1724">
        <v>3038265</v>
      </c>
      <c r="L19" s="605"/>
      <c r="M19" s="605"/>
      <c r="N19" s="605"/>
      <c r="O19" s="605"/>
    </row>
    <row r="20" spans="1:15" ht="15" customHeight="1" x14ac:dyDescent="0.25">
      <c r="A20" s="2137" t="s">
        <v>978</v>
      </c>
      <c r="B20" s="2156"/>
      <c r="C20" s="1735"/>
      <c r="D20" s="1736" t="s">
        <v>979</v>
      </c>
      <c r="E20" s="1737">
        <v>1992</v>
      </c>
      <c r="F20" s="1738">
        <v>819</v>
      </c>
      <c r="G20" s="1737">
        <v>1846</v>
      </c>
      <c r="H20" s="1738">
        <v>1949</v>
      </c>
      <c r="I20" s="1737">
        <v>54597219</v>
      </c>
      <c r="J20" s="1738">
        <v>1986</v>
      </c>
      <c r="K20" s="1739">
        <v>52754666</v>
      </c>
    </row>
    <row r="21" spans="1:15" ht="15" customHeight="1" x14ac:dyDescent="0.25">
      <c r="A21" s="2139" t="s">
        <v>980</v>
      </c>
      <c r="B21" s="2140"/>
      <c r="C21" s="1740" t="s">
        <v>973</v>
      </c>
      <c r="D21" s="1733" t="s">
        <v>981</v>
      </c>
      <c r="E21" s="1741">
        <v>869</v>
      </c>
      <c r="F21" s="1723">
        <v>426</v>
      </c>
      <c r="G21" s="1722">
        <v>3113</v>
      </c>
      <c r="H21" s="1723">
        <v>864</v>
      </c>
      <c r="I21" s="1722">
        <v>58368794</v>
      </c>
      <c r="J21" s="1723">
        <v>868</v>
      </c>
      <c r="K21" s="1724">
        <v>79649421</v>
      </c>
    </row>
    <row r="22" spans="1:15" ht="15" customHeight="1" x14ac:dyDescent="0.25">
      <c r="A22" s="2145" t="s">
        <v>982</v>
      </c>
      <c r="B22" s="2153"/>
      <c r="C22" s="1742" t="s">
        <v>976</v>
      </c>
      <c r="D22" s="1743" t="s">
        <v>983</v>
      </c>
      <c r="E22" s="1719">
        <v>1267</v>
      </c>
      <c r="F22" s="1720">
        <v>519</v>
      </c>
      <c r="G22" s="1719">
        <v>7296</v>
      </c>
      <c r="H22" s="1720">
        <v>1267</v>
      </c>
      <c r="I22" s="1719">
        <v>4291584</v>
      </c>
      <c r="J22" s="1720">
        <v>1260</v>
      </c>
      <c r="K22" s="1721">
        <v>10904537</v>
      </c>
      <c r="L22" s="605"/>
      <c r="M22" s="605"/>
      <c r="N22" s="605"/>
      <c r="O22" s="605"/>
    </row>
    <row r="23" spans="1:15" ht="15" customHeight="1" x14ac:dyDescent="0.25">
      <c r="A23" s="2139" t="s">
        <v>984</v>
      </c>
      <c r="B23" s="2140"/>
      <c r="C23" s="2143" t="s">
        <v>985</v>
      </c>
      <c r="D23" s="2144"/>
      <c r="E23" s="1722">
        <v>1223</v>
      </c>
      <c r="F23" s="1723">
        <v>1203</v>
      </c>
      <c r="G23" s="1722">
        <v>5328</v>
      </c>
      <c r="H23" s="1723">
        <v>1179</v>
      </c>
      <c r="I23" s="1722">
        <v>20315941</v>
      </c>
      <c r="J23" s="1723">
        <v>1218</v>
      </c>
      <c r="K23" s="1724">
        <v>21664372</v>
      </c>
    </row>
    <row r="24" spans="1:15" ht="15" customHeight="1" x14ac:dyDescent="0.25">
      <c r="A24" s="2137" t="s">
        <v>986</v>
      </c>
      <c r="B24" s="2138"/>
      <c r="C24" s="1736"/>
      <c r="D24" s="1736" t="s">
        <v>987</v>
      </c>
      <c r="E24" s="1737">
        <v>1146</v>
      </c>
      <c r="F24" s="1738">
        <v>1099</v>
      </c>
      <c r="G24" s="1737">
        <v>843</v>
      </c>
      <c r="H24" s="1738">
        <v>1138</v>
      </c>
      <c r="I24" s="1737">
        <v>20292891</v>
      </c>
      <c r="J24" s="1738">
        <v>1141</v>
      </c>
      <c r="K24" s="1739">
        <v>21641286</v>
      </c>
    </row>
    <row r="25" spans="1:15" ht="15" customHeight="1" x14ac:dyDescent="0.25">
      <c r="A25" s="2139" t="s">
        <v>988</v>
      </c>
      <c r="B25" s="2140"/>
      <c r="C25" s="1744" t="s">
        <v>989</v>
      </c>
      <c r="D25" s="1733" t="s">
        <v>990</v>
      </c>
      <c r="E25" s="1741">
        <v>72</v>
      </c>
      <c r="F25" s="1723">
        <v>13</v>
      </c>
      <c r="G25" s="1722">
        <v>8524</v>
      </c>
      <c r="H25" s="1723">
        <v>36</v>
      </c>
      <c r="I25" s="1722">
        <v>22640</v>
      </c>
      <c r="J25" s="1723">
        <v>72</v>
      </c>
      <c r="K25" s="1724">
        <v>22676</v>
      </c>
    </row>
    <row r="26" spans="1:15" ht="15" customHeight="1" x14ac:dyDescent="0.25">
      <c r="A26" s="2145" t="s">
        <v>991</v>
      </c>
      <c r="B26" s="2146"/>
      <c r="C26" s="1743" t="s">
        <v>976</v>
      </c>
      <c r="D26" s="1743" t="s">
        <v>992</v>
      </c>
      <c r="E26" s="1719">
        <v>5</v>
      </c>
      <c r="F26" s="1720">
        <v>90</v>
      </c>
      <c r="G26" s="1719">
        <v>5961</v>
      </c>
      <c r="H26" s="1720">
        <v>5</v>
      </c>
      <c r="I26" s="1719">
        <v>410</v>
      </c>
      <c r="J26" s="1720">
        <v>5</v>
      </c>
      <c r="K26" s="1721">
        <v>410</v>
      </c>
    </row>
    <row r="27" spans="1:15" ht="15" customHeight="1" x14ac:dyDescent="0.25">
      <c r="A27" s="2139" t="s">
        <v>993</v>
      </c>
      <c r="B27" s="2140"/>
      <c r="C27" s="2143" t="s">
        <v>994</v>
      </c>
      <c r="D27" s="2144"/>
      <c r="E27" s="1722">
        <v>1218</v>
      </c>
      <c r="F27" s="1723">
        <v>554</v>
      </c>
      <c r="G27" s="1722">
        <v>4498</v>
      </c>
      <c r="H27" s="1723">
        <v>1216</v>
      </c>
      <c r="I27" s="1722">
        <v>69225616</v>
      </c>
      <c r="J27" s="1723">
        <v>1218</v>
      </c>
      <c r="K27" s="1724">
        <v>88023676</v>
      </c>
    </row>
    <row r="28" spans="1:15" ht="15" customHeight="1" x14ac:dyDescent="0.25">
      <c r="A28" s="2137" t="s">
        <v>995</v>
      </c>
      <c r="B28" s="2138"/>
      <c r="C28" s="1736"/>
      <c r="D28" s="1736" t="s">
        <v>987</v>
      </c>
      <c r="E28" s="1737">
        <v>1110</v>
      </c>
      <c r="F28" s="1738">
        <v>509</v>
      </c>
      <c r="G28" s="1737">
        <v>484</v>
      </c>
      <c r="H28" s="1738">
        <v>1110</v>
      </c>
      <c r="I28" s="1737">
        <v>68440982</v>
      </c>
      <c r="J28" s="1738">
        <v>1110</v>
      </c>
      <c r="K28" s="1739">
        <v>87207346</v>
      </c>
    </row>
    <row r="29" spans="1:15" ht="15" customHeight="1" x14ac:dyDescent="0.25">
      <c r="A29" s="2139" t="s">
        <v>996</v>
      </c>
      <c r="B29" s="2140"/>
      <c r="C29" s="1744" t="s">
        <v>997</v>
      </c>
      <c r="D29" s="1733" t="s">
        <v>990</v>
      </c>
      <c r="E29" s="1741">
        <v>0</v>
      </c>
      <c r="F29" s="1723">
        <v>0</v>
      </c>
      <c r="G29" s="1722">
        <v>0</v>
      </c>
      <c r="H29" s="1723">
        <v>0</v>
      </c>
      <c r="I29" s="1722">
        <v>0</v>
      </c>
      <c r="J29" s="1723">
        <v>0</v>
      </c>
      <c r="K29" s="1724">
        <v>0</v>
      </c>
    </row>
    <row r="30" spans="1:15" ht="15" customHeight="1" x14ac:dyDescent="0.25">
      <c r="A30" s="2139" t="s">
        <v>998</v>
      </c>
      <c r="B30" s="2140"/>
      <c r="C30" s="1744" t="s">
        <v>976</v>
      </c>
      <c r="D30" s="1733" t="s">
        <v>992</v>
      </c>
      <c r="E30" s="1741">
        <v>3</v>
      </c>
      <c r="F30" s="1723">
        <v>0</v>
      </c>
      <c r="G30" s="1722">
        <v>3538</v>
      </c>
      <c r="H30" s="1723">
        <v>3</v>
      </c>
      <c r="I30" s="1722">
        <v>24472</v>
      </c>
      <c r="J30" s="1723">
        <v>3</v>
      </c>
      <c r="K30" s="1724">
        <v>56163</v>
      </c>
    </row>
    <row r="31" spans="1:15" ht="15" customHeight="1" x14ac:dyDescent="0.25">
      <c r="A31" s="2139" t="s">
        <v>999</v>
      </c>
      <c r="B31" s="2140"/>
      <c r="C31" s="1743"/>
      <c r="D31" s="1743" t="s">
        <v>1000</v>
      </c>
      <c r="E31" s="1719">
        <v>19</v>
      </c>
      <c r="F31" s="1720">
        <v>2</v>
      </c>
      <c r="G31" s="1719">
        <v>5272</v>
      </c>
      <c r="H31" s="1720">
        <v>19</v>
      </c>
      <c r="I31" s="1719">
        <v>154335</v>
      </c>
      <c r="J31" s="1720">
        <v>19</v>
      </c>
      <c r="K31" s="1721">
        <v>263448</v>
      </c>
    </row>
    <row r="32" spans="1:15" ht="15" customHeight="1" x14ac:dyDescent="0.25">
      <c r="A32" s="2139" t="s">
        <v>1001</v>
      </c>
      <c r="B32" s="2140"/>
      <c r="C32" s="2143" t="s">
        <v>1002</v>
      </c>
      <c r="D32" s="2144"/>
      <c r="E32" s="1722">
        <v>1665</v>
      </c>
      <c r="F32" s="1723"/>
      <c r="G32" s="1722"/>
      <c r="H32" s="1723">
        <v>1664</v>
      </c>
      <c r="I32" s="1722">
        <v>3482548</v>
      </c>
      <c r="J32" s="1723">
        <v>1657</v>
      </c>
      <c r="K32" s="1724">
        <v>11520413</v>
      </c>
    </row>
    <row r="33" spans="1:13" ht="15" customHeight="1" x14ac:dyDescent="0.25">
      <c r="A33" s="2137" t="s">
        <v>1003</v>
      </c>
      <c r="B33" s="2138"/>
      <c r="C33" s="1736"/>
      <c r="D33" s="1736" t="s">
        <v>987</v>
      </c>
      <c r="E33" s="1737">
        <v>1659</v>
      </c>
      <c r="F33" s="1738"/>
      <c r="G33" s="1737"/>
      <c r="H33" s="1738">
        <v>1658</v>
      </c>
      <c r="I33" s="1737">
        <v>3473943</v>
      </c>
      <c r="J33" s="1738">
        <v>1651</v>
      </c>
      <c r="K33" s="1739">
        <v>11482350</v>
      </c>
    </row>
    <row r="34" spans="1:13" ht="15" customHeight="1" x14ac:dyDescent="0.25">
      <c r="A34" s="2139" t="s">
        <v>1004</v>
      </c>
      <c r="B34" s="2140"/>
      <c r="C34" s="1744" t="s">
        <v>1005</v>
      </c>
      <c r="D34" s="1733" t="s">
        <v>990</v>
      </c>
      <c r="E34" s="1741">
        <v>0</v>
      </c>
      <c r="F34" s="1723"/>
      <c r="G34" s="1722"/>
      <c r="H34" s="1723">
        <v>0</v>
      </c>
      <c r="I34" s="1722">
        <v>0</v>
      </c>
      <c r="J34" s="1723">
        <v>0</v>
      </c>
      <c r="K34" s="1724">
        <v>0</v>
      </c>
    </row>
    <row r="35" spans="1:13" ht="15" customHeight="1" x14ac:dyDescent="0.25">
      <c r="A35" s="2145" t="s">
        <v>1006</v>
      </c>
      <c r="B35" s="2146"/>
      <c r="C35" s="1743" t="s">
        <v>976</v>
      </c>
      <c r="D35" s="1743" t="s">
        <v>992</v>
      </c>
      <c r="E35" s="1719">
        <v>6</v>
      </c>
      <c r="F35" s="1720"/>
      <c r="G35" s="1719"/>
      <c r="H35" s="1720">
        <v>6</v>
      </c>
      <c r="I35" s="1719">
        <v>8605</v>
      </c>
      <c r="J35" s="1720">
        <v>6</v>
      </c>
      <c r="K35" s="1721">
        <v>38063</v>
      </c>
    </row>
    <row r="36" spans="1:13" ht="15" customHeight="1" x14ac:dyDescent="0.25">
      <c r="A36" s="2137" t="s">
        <v>1007</v>
      </c>
      <c r="B36" s="2138"/>
      <c r="C36" s="1745"/>
      <c r="D36" s="1744" t="s">
        <v>1008</v>
      </c>
      <c r="E36" s="1737">
        <v>139</v>
      </c>
      <c r="F36" s="1738">
        <v>521</v>
      </c>
      <c r="G36" s="1737">
        <v>6458</v>
      </c>
      <c r="H36" s="1738">
        <v>105</v>
      </c>
      <c r="I36" s="1737">
        <v>621677</v>
      </c>
      <c r="J36" s="1738">
        <v>139</v>
      </c>
      <c r="K36" s="1739">
        <v>1022105</v>
      </c>
    </row>
    <row r="37" spans="1:13" ht="15" customHeight="1" x14ac:dyDescent="0.25">
      <c r="A37" s="2139" t="s">
        <v>1009</v>
      </c>
      <c r="B37" s="2140"/>
      <c r="C37" s="1744" t="s">
        <v>1010</v>
      </c>
      <c r="D37" s="1733" t="s">
        <v>1011</v>
      </c>
      <c r="E37" s="1741">
        <v>6</v>
      </c>
      <c r="F37" s="1723">
        <v>9</v>
      </c>
      <c r="G37" s="1722">
        <v>8414</v>
      </c>
      <c r="H37" s="1723">
        <v>6</v>
      </c>
      <c r="I37" s="1722">
        <v>1112079</v>
      </c>
      <c r="J37" s="1723">
        <v>6</v>
      </c>
      <c r="K37" s="1724">
        <v>1114064</v>
      </c>
    </row>
    <row r="38" spans="1:13" ht="18.75" customHeight="1" thickBot="1" x14ac:dyDescent="0.3">
      <c r="A38" s="2141">
        <v>28</v>
      </c>
      <c r="B38" s="2142"/>
      <c r="C38" s="1746" t="s">
        <v>976</v>
      </c>
      <c r="D38" s="1747" t="s">
        <v>1012</v>
      </c>
      <c r="E38" s="1748">
        <v>277</v>
      </c>
      <c r="F38" s="1749">
        <v>70</v>
      </c>
      <c r="G38" s="1748">
        <v>4032</v>
      </c>
      <c r="H38" s="1749">
        <v>277</v>
      </c>
      <c r="I38" s="1748">
        <v>9657719</v>
      </c>
      <c r="J38" s="1749">
        <v>272</v>
      </c>
      <c r="K38" s="1750">
        <v>13708144</v>
      </c>
      <c r="M38" s="605"/>
    </row>
    <row r="40" spans="1:13" x14ac:dyDescent="0.2">
      <c r="E40" s="605"/>
    </row>
    <row r="41" spans="1:13" x14ac:dyDescent="0.2">
      <c r="E41" s="605"/>
      <c r="F41" s="605"/>
      <c r="G41" s="605"/>
      <c r="H41" s="605"/>
      <c r="I41" s="605"/>
      <c r="J41" s="605"/>
      <c r="K41" s="605"/>
    </row>
  </sheetData>
  <mergeCells count="49">
    <mergeCell ref="A2:K2"/>
    <mergeCell ref="A4:J4"/>
    <mergeCell ref="A5:B10"/>
    <mergeCell ref="C5:D10"/>
    <mergeCell ref="E5:K5"/>
    <mergeCell ref="E6:G6"/>
    <mergeCell ref="H6:K6"/>
    <mergeCell ref="E7:E8"/>
    <mergeCell ref="F7:G8"/>
    <mergeCell ref="H7:I7"/>
    <mergeCell ref="J7:K8"/>
    <mergeCell ref="H8:I8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25:B25"/>
    <mergeCell ref="A16:B16"/>
    <mergeCell ref="A17:B17"/>
    <mergeCell ref="C17:D17"/>
    <mergeCell ref="A18:B18"/>
    <mergeCell ref="A19:B19"/>
    <mergeCell ref="A20:B20"/>
    <mergeCell ref="A21:B21"/>
    <mergeCell ref="A22:B22"/>
    <mergeCell ref="A23:B23"/>
    <mergeCell ref="C23:D23"/>
    <mergeCell ref="A24:B24"/>
    <mergeCell ref="C32:D32"/>
    <mergeCell ref="A33:B33"/>
    <mergeCell ref="A34:B34"/>
    <mergeCell ref="A35:B35"/>
    <mergeCell ref="A26:B26"/>
    <mergeCell ref="A27:B27"/>
    <mergeCell ref="C27:D27"/>
    <mergeCell ref="A28:B28"/>
    <mergeCell ref="A29:B29"/>
    <mergeCell ref="A30:B30"/>
    <mergeCell ref="A36:B36"/>
    <mergeCell ref="A37:B37"/>
    <mergeCell ref="A38:B38"/>
    <mergeCell ref="A31:B31"/>
    <mergeCell ref="A32:B32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2" orientation="landscape" r:id="rId1"/>
  <headerFooter alignWithMargins="0">
    <oddHeader>&amp;R&amp;"Cambria,Félkövér"&amp;11  27. melléklet a 13/2023. (V.26.)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9AF87-0165-4DF5-BB70-51FBABC747F9}">
  <dimension ref="B2:L90"/>
  <sheetViews>
    <sheetView zoomScaleNormal="100" workbookViewId="0">
      <selection activeCell="C134" sqref="C134"/>
    </sheetView>
  </sheetViews>
  <sheetFormatPr defaultColWidth="10.6640625" defaultRowHeight="15" x14ac:dyDescent="0.2"/>
  <cols>
    <col min="1" max="1" width="10.6640625" style="607"/>
    <col min="2" max="2" width="11.5" style="606" customWidth="1"/>
    <col min="3" max="3" width="8.83203125" style="607" customWidth="1"/>
    <col min="4" max="4" width="118" style="607" customWidth="1"/>
    <col min="5" max="5" width="26" style="607" customWidth="1"/>
    <col min="6" max="6" width="23.5" style="607" customWidth="1"/>
    <col min="7" max="7" width="24.1640625" style="607" customWidth="1"/>
    <col min="8" max="8" width="18.83203125" style="607" customWidth="1"/>
    <col min="9" max="9" width="10.6640625" style="607"/>
    <col min="10" max="10" width="19.1640625" style="607" bestFit="1" customWidth="1"/>
    <col min="11" max="11" width="28" style="607" customWidth="1"/>
    <col min="12" max="16384" width="10.6640625" style="607"/>
  </cols>
  <sheetData>
    <row r="2" spans="2:12" ht="18" x14ac:dyDescent="0.25">
      <c r="E2" s="598"/>
      <c r="F2" s="609"/>
    </row>
    <row r="5" spans="2:12" ht="21.75" customHeight="1" x14ac:dyDescent="0.3">
      <c r="B5" s="2189" t="s">
        <v>1274</v>
      </c>
      <c r="C5" s="2189"/>
      <c r="D5" s="2189"/>
      <c r="E5" s="2189"/>
      <c r="F5" s="2189"/>
      <c r="G5" s="2189"/>
    </row>
    <row r="6" spans="2:12" ht="19.5" thickBot="1" x14ac:dyDescent="0.35">
      <c r="B6" s="1245"/>
      <c r="C6" s="1246"/>
      <c r="D6" s="1246"/>
      <c r="E6" s="1246"/>
      <c r="F6" s="1246"/>
      <c r="G6" s="971" t="s">
        <v>17</v>
      </c>
    </row>
    <row r="7" spans="2:12" s="608" customFormat="1" ht="19.5" customHeight="1" thickBot="1" x14ac:dyDescent="0.35">
      <c r="B7" s="1247" t="s">
        <v>705</v>
      </c>
      <c r="C7" s="1248"/>
      <c r="D7" s="1248"/>
      <c r="E7" s="2190"/>
      <c r="F7" s="2191"/>
      <c r="G7" s="2192"/>
    </row>
    <row r="8" spans="2:12" ht="20.100000000000001" customHeight="1" thickBot="1" x14ac:dyDescent="0.35">
      <c r="B8" s="1251"/>
      <c r="C8" s="1248"/>
      <c r="D8" s="1248"/>
      <c r="E8" s="1252" t="s">
        <v>1013</v>
      </c>
      <c r="F8" s="1250" t="s">
        <v>1014</v>
      </c>
      <c r="G8" s="1253" t="s">
        <v>1015</v>
      </c>
    </row>
    <row r="9" spans="2:12" s="610" customFormat="1" ht="20.100000000000001" customHeight="1" thickBot="1" x14ac:dyDescent="0.35">
      <c r="B9" s="1254" t="s">
        <v>1016</v>
      </c>
      <c r="C9" s="1255" t="s">
        <v>1017</v>
      </c>
      <c r="D9" s="1255"/>
      <c r="E9" s="1256">
        <f>+E10+E18+E49+E53</f>
        <v>127591899</v>
      </c>
      <c r="F9" s="1256">
        <f>+F10+F18+F49+F53</f>
        <v>27558594</v>
      </c>
      <c r="G9" s="1257">
        <f>+G10+G18+G49+G53</f>
        <v>100033306</v>
      </c>
    </row>
    <row r="10" spans="2:12" s="611" customFormat="1" ht="20.100000000000001" customHeight="1" thickBot="1" x14ac:dyDescent="0.35">
      <c r="B10" s="1249" t="s">
        <v>717</v>
      </c>
      <c r="C10" s="1258" t="s">
        <v>1018</v>
      </c>
      <c r="D10" s="1258"/>
      <c r="E10" s="1259">
        <f>+E11+E15</f>
        <v>397098</v>
      </c>
      <c r="F10" s="1259">
        <f>+F11+F15</f>
        <v>351375</v>
      </c>
      <c r="G10" s="1260">
        <f>+G15+G11</f>
        <v>45724</v>
      </c>
      <c r="J10" s="610"/>
      <c r="K10" s="610"/>
    </row>
    <row r="11" spans="2:12" s="612" customFormat="1" ht="20.100000000000001" customHeight="1" x14ac:dyDescent="0.3">
      <c r="B11" s="1261" t="s">
        <v>1019</v>
      </c>
      <c r="C11" s="1262" t="s">
        <v>709</v>
      </c>
      <c r="D11" s="1262"/>
      <c r="E11" s="1263">
        <f>SUM(E12:E14)</f>
        <v>242551</v>
      </c>
      <c r="F11" s="1263">
        <f>SUM(F12:F14)</f>
        <v>202183</v>
      </c>
      <c r="G11" s="1264">
        <f>SUM(G12:G14)</f>
        <v>40369</v>
      </c>
      <c r="H11" s="611"/>
      <c r="I11" s="611"/>
      <c r="J11" s="610"/>
      <c r="K11" s="610"/>
      <c r="L11" s="611"/>
    </row>
    <row r="12" spans="2:12" ht="20.100000000000001" customHeight="1" x14ac:dyDescent="0.3">
      <c r="B12" s="1265"/>
      <c r="C12" s="1266" t="s">
        <v>1020</v>
      </c>
      <c r="D12" s="1266"/>
      <c r="E12" s="1267">
        <v>29018</v>
      </c>
      <c r="F12" s="1266">
        <v>17597</v>
      </c>
      <c r="G12" s="1268">
        <v>11421</v>
      </c>
      <c r="H12" s="611"/>
      <c r="I12" s="611"/>
      <c r="J12" s="610"/>
      <c r="K12" s="610"/>
      <c r="L12" s="611"/>
    </row>
    <row r="13" spans="2:12" ht="20.100000000000001" customHeight="1" x14ac:dyDescent="0.3">
      <c r="B13" s="1265"/>
      <c r="C13" s="1266" t="s">
        <v>1021</v>
      </c>
      <c r="D13" s="1266"/>
      <c r="E13" s="1267">
        <v>213533</v>
      </c>
      <c r="F13" s="1266">
        <v>184586</v>
      </c>
      <c r="G13" s="1268">
        <v>28948</v>
      </c>
      <c r="H13" s="611"/>
      <c r="I13" s="611"/>
      <c r="J13" s="610"/>
      <c r="K13" s="610"/>
      <c r="L13" s="611"/>
    </row>
    <row r="14" spans="2:12" ht="20.100000000000001" customHeight="1" x14ac:dyDescent="0.3">
      <c r="B14" s="1269"/>
      <c r="C14" s="1246" t="s">
        <v>1022</v>
      </c>
      <c r="D14" s="1246"/>
      <c r="E14" s="1270">
        <v>0</v>
      </c>
      <c r="F14" s="1246">
        <v>0</v>
      </c>
      <c r="G14" s="1271">
        <f>E14-F14</f>
        <v>0</v>
      </c>
      <c r="H14" s="611"/>
      <c r="I14" s="611"/>
      <c r="J14" s="610"/>
      <c r="K14" s="610"/>
      <c r="L14" s="611"/>
    </row>
    <row r="15" spans="2:12" s="612" customFormat="1" ht="20.100000000000001" customHeight="1" x14ac:dyDescent="0.3">
      <c r="B15" s="1272" t="s">
        <v>715</v>
      </c>
      <c r="C15" s="1273" t="s">
        <v>714</v>
      </c>
      <c r="D15" s="1273"/>
      <c r="E15" s="1274">
        <f>SUM(E16:E17)</f>
        <v>154547</v>
      </c>
      <c r="F15" s="1274">
        <f t="shared" ref="F15:G15" si="0">SUM(F16:F17)</f>
        <v>149192</v>
      </c>
      <c r="G15" s="1275">
        <f t="shared" si="0"/>
        <v>5355</v>
      </c>
      <c r="H15" s="611"/>
      <c r="I15" s="611"/>
      <c r="J15" s="610"/>
      <c r="K15" s="610"/>
      <c r="L15" s="611"/>
    </row>
    <row r="16" spans="2:12" ht="20.100000000000001" customHeight="1" x14ac:dyDescent="0.3">
      <c r="B16" s="1265"/>
      <c r="C16" s="1266" t="s">
        <v>1020</v>
      </c>
      <c r="D16" s="1266"/>
      <c r="E16" s="1267">
        <v>5600</v>
      </c>
      <c r="F16" s="1266">
        <v>352</v>
      </c>
      <c r="G16" s="1271">
        <f>E16-F16</f>
        <v>5248</v>
      </c>
      <c r="H16" s="611"/>
      <c r="I16" s="611"/>
      <c r="J16" s="610"/>
      <c r="K16" s="610"/>
      <c r="L16" s="611"/>
    </row>
    <row r="17" spans="2:12" ht="20.100000000000001" customHeight="1" thickBot="1" x14ac:dyDescent="0.35">
      <c r="B17" s="1269"/>
      <c r="C17" s="1246" t="s">
        <v>1021</v>
      </c>
      <c r="D17" s="1246"/>
      <c r="E17" s="1270">
        <v>148947</v>
      </c>
      <c r="F17" s="1246">
        <v>148840</v>
      </c>
      <c r="G17" s="1276">
        <f>E17-F17</f>
        <v>107</v>
      </c>
      <c r="H17" s="611"/>
      <c r="I17" s="611"/>
      <c r="J17" s="610"/>
      <c r="K17" s="610"/>
      <c r="L17" s="611"/>
    </row>
    <row r="18" spans="2:12" s="611" customFormat="1" ht="20.100000000000001" customHeight="1" thickBot="1" x14ac:dyDescent="0.35">
      <c r="B18" s="1249" t="s">
        <v>729</v>
      </c>
      <c r="C18" s="1258" t="s">
        <v>1023</v>
      </c>
      <c r="D18" s="1258"/>
      <c r="E18" s="1259">
        <f>+E19+E40+E44+E45</f>
        <v>119793686</v>
      </c>
      <c r="F18" s="1259">
        <f>+F19+F40+F44+F45</f>
        <v>27138876</v>
      </c>
      <c r="G18" s="1277">
        <f>E18-F18</f>
        <v>92654810</v>
      </c>
      <c r="J18" s="610"/>
      <c r="K18" s="610"/>
    </row>
    <row r="19" spans="2:12" s="613" customFormat="1" ht="20.100000000000001" customHeight="1" x14ac:dyDescent="0.3">
      <c r="B19" s="1261" t="s">
        <v>720</v>
      </c>
      <c r="C19" s="1262" t="s">
        <v>719</v>
      </c>
      <c r="D19" s="1262"/>
      <c r="E19" s="1263">
        <f>+E20+E27+E36</f>
        <v>110405740</v>
      </c>
      <c r="F19" s="1263">
        <f>+F20+F27+F36</f>
        <v>23467844</v>
      </c>
      <c r="G19" s="1264">
        <f>+G20+G27+G36</f>
        <v>86937896</v>
      </c>
      <c r="H19" s="611"/>
      <c r="I19" s="611"/>
      <c r="J19" s="610"/>
      <c r="K19" s="610"/>
      <c r="L19" s="611"/>
    </row>
    <row r="20" spans="2:12" s="614" customFormat="1" ht="20.100000000000001" customHeight="1" x14ac:dyDescent="0.3">
      <c r="B20" s="1272"/>
      <c r="C20" s="1278" t="s">
        <v>1024</v>
      </c>
      <c r="D20" s="1273"/>
      <c r="E20" s="1279">
        <f>SUM(E21:E26)</f>
        <v>55284893</v>
      </c>
      <c r="F20" s="1279">
        <f>SUM(F21:F26)</f>
        <v>15775841</v>
      </c>
      <c r="G20" s="1280">
        <f>SUM(G21:G26)</f>
        <v>39509052</v>
      </c>
      <c r="H20" s="611"/>
      <c r="J20" s="610"/>
      <c r="K20" s="610"/>
    </row>
    <row r="21" spans="2:12" ht="20.100000000000001" customHeight="1" x14ac:dyDescent="0.3">
      <c r="B21" s="1269"/>
      <c r="C21" s="1245" t="s">
        <v>1025</v>
      </c>
      <c r="D21" s="1246" t="s">
        <v>1026</v>
      </c>
      <c r="E21" s="1270">
        <v>36275218</v>
      </c>
      <c r="F21" s="1246">
        <v>12064024</v>
      </c>
      <c r="G21" s="1271">
        <f t="shared" ref="G21:G26" si="1">E21-F21</f>
        <v>24211194</v>
      </c>
      <c r="H21" s="611"/>
      <c r="J21" s="610"/>
      <c r="K21" s="610"/>
    </row>
    <row r="22" spans="2:12" ht="20.100000000000001" customHeight="1" x14ac:dyDescent="0.3">
      <c r="B22" s="1265"/>
      <c r="C22" s="1281" t="s">
        <v>1025</v>
      </c>
      <c r="D22" s="1266" t="s">
        <v>1027</v>
      </c>
      <c r="E22" s="1267">
        <v>11117522</v>
      </c>
      <c r="F22" s="1266">
        <v>3130623</v>
      </c>
      <c r="G22" s="1268">
        <f>E22-F22</f>
        <v>7986899</v>
      </c>
      <c r="H22" s="611"/>
      <c r="J22" s="610"/>
      <c r="K22" s="610"/>
    </row>
    <row r="23" spans="2:12" ht="20.100000000000001" customHeight="1" x14ac:dyDescent="0.3">
      <c r="B23" s="1265"/>
      <c r="C23" s="1281" t="s">
        <v>1025</v>
      </c>
      <c r="D23" s="1266" t="s">
        <v>1028</v>
      </c>
      <c r="E23" s="1267">
        <v>687649</v>
      </c>
      <c r="F23" s="1266">
        <v>180</v>
      </c>
      <c r="G23" s="1268">
        <f t="shared" si="1"/>
        <v>687469</v>
      </c>
      <c r="H23" s="611"/>
      <c r="J23" s="610"/>
      <c r="K23" s="610"/>
    </row>
    <row r="24" spans="2:12" ht="20.100000000000001" customHeight="1" x14ac:dyDescent="0.3">
      <c r="B24" s="1265"/>
      <c r="C24" s="1281" t="s">
        <v>1025</v>
      </c>
      <c r="D24" s="1266" t="s">
        <v>1029</v>
      </c>
      <c r="E24" s="1267">
        <v>725636</v>
      </c>
      <c r="F24" s="1266">
        <v>199784</v>
      </c>
      <c r="G24" s="1268">
        <f t="shared" si="1"/>
        <v>525852</v>
      </c>
      <c r="H24" s="611"/>
      <c r="J24" s="610"/>
      <c r="K24" s="610"/>
    </row>
    <row r="25" spans="2:12" ht="20.100000000000001" customHeight="1" x14ac:dyDescent="0.3">
      <c r="B25" s="1265"/>
      <c r="C25" s="1281" t="s">
        <v>1025</v>
      </c>
      <c r="D25" s="1266" t="s">
        <v>1030</v>
      </c>
      <c r="E25" s="1267">
        <f>64885+3729+191692</f>
        <v>260306</v>
      </c>
      <c r="F25" s="1266">
        <f>7175+1283+51584</f>
        <v>60042</v>
      </c>
      <c r="G25" s="1268">
        <f t="shared" si="1"/>
        <v>200264</v>
      </c>
      <c r="H25" s="611"/>
      <c r="J25" s="610"/>
      <c r="K25" s="610"/>
    </row>
    <row r="26" spans="2:12" ht="38.25" customHeight="1" x14ac:dyDescent="0.3">
      <c r="B26" s="1269"/>
      <c r="C26" s="1282" t="s">
        <v>1025</v>
      </c>
      <c r="D26" s="1283" t="s">
        <v>1031</v>
      </c>
      <c r="E26" s="1270">
        <v>6218562</v>
      </c>
      <c r="F26" s="1246">
        <f>321186+2</f>
        <v>321188</v>
      </c>
      <c r="G26" s="1271">
        <f t="shared" si="1"/>
        <v>5897374</v>
      </c>
      <c r="H26" s="611"/>
      <c r="J26" s="610"/>
      <c r="K26" s="610"/>
    </row>
    <row r="27" spans="2:12" s="614" customFormat="1" ht="20.100000000000001" customHeight="1" x14ac:dyDescent="0.3">
      <c r="B27" s="1272"/>
      <c r="C27" s="1278" t="s">
        <v>1032</v>
      </c>
      <c r="D27" s="1273"/>
      <c r="E27" s="1279">
        <f>SUM(E28:E35)</f>
        <v>47613555</v>
      </c>
      <c r="F27" s="1279">
        <f>SUM(F28:F35)</f>
        <v>7082357</v>
      </c>
      <c r="G27" s="1280">
        <f>SUM(G28:G35)</f>
        <v>40531198</v>
      </c>
      <c r="H27" s="611"/>
      <c r="J27" s="610"/>
      <c r="K27" s="610"/>
    </row>
    <row r="28" spans="2:12" ht="20.100000000000001" customHeight="1" x14ac:dyDescent="0.3">
      <c r="B28" s="1269"/>
      <c r="C28" s="1245" t="s">
        <v>1025</v>
      </c>
      <c r="D28" s="1246" t="s">
        <v>1033</v>
      </c>
      <c r="E28" s="1270">
        <v>4729154</v>
      </c>
      <c r="F28" s="1246">
        <v>1659108</v>
      </c>
      <c r="G28" s="1271">
        <f>E28-F28</f>
        <v>3070046</v>
      </c>
      <c r="H28" s="611"/>
      <c r="J28" s="610"/>
      <c r="K28" s="610"/>
    </row>
    <row r="29" spans="2:12" ht="20.100000000000001" customHeight="1" x14ac:dyDescent="0.3">
      <c r="B29" s="1265"/>
      <c r="C29" s="1281" t="s">
        <v>1025</v>
      </c>
      <c r="D29" s="1266" t="s">
        <v>1034</v>
      </c>
      <c r="E29" s="1267">
        <v>335298</v>
      </c>
      <c r="F29" s="1266">
        <v>54744</v>
      </c>
      <c r="G29" s="1268">
        <f t="shared" ref="G29:G35" si="2">E29-F29</f>
        <v>280554</v>
      </c>
      <c r="H29" s="611"/>
      <c r="J29" s="610"/>
      <c r="K29" s="610"/>
    </row>
    <row r="30" spans="2:12" ht="20.100000000000001" customHeight="1" x14ac:dyDescent="0.3">
      <c r="B30" s="1265"/>
      <c r="C30" s="1281" t="s">
        <v>1025</v>
      </c>
      <c r="D30" s="1266" t="s">
        <v>1035</v>
      </c>
      <c r="E30" s="1284">
        <v>502000</v>
      </c>
      <c r="F30" s="1285">
        <v>163672</v>
      </c>
      <c r="G30" s="1286">
        <f t="shared" si="2"/>
        <v>338328</v>
      </c>
      <c r="H30" s="611"/>
      <c r="J30" s="610"/>
      <c r="K30" s="610"/>
    </row>
    <row r="31" spans="2:12" ht="20.100000000000001" customHeight="1" x14ac:dyDescent="0.3">
      <c r="B31" s="1265"/>
      <c r="C31" s="1281" t="s">
        <v>1025</v>
      </c>
      <c r="D31" s="1266" t="s">
        <v>1029</v>
      </c>
      <c r="E31" s="1267">
        <v>5756448</v>
      </c>
      <c r="F31" s="1266">
        <v>1575851</v>
      </c>
      <c r="G31" s="1268">
        <f t="shared" si="2"/>
        <v>4180597</v>
      </c>
      <c r="H31" s="611"/>
      <c r="J31" s="610"/>
      <c r="K31" s="610"/>
    </row>
    <row r="32" spans="2:12" ht="20.100000000000001" customHeight="1" x14ac:dyDescent="0.3">
      <c r="B32" s="1265"/>
      <c r="C32" s="1281" t="s">
        <v>1025</v>
      </c>
      <c r="D32" s="1266" t="s">
        <v>1036</v>
      </c>
      <c r="E32" s="1267">
        <f>1664568+205543</f>
        <v>1870111</v>
      </c>
      <c r="F32" s="1266">
        <f>10781+1576</f>
        <v>12357</v>
      </c>
      <c r="G32" s="1268">
        <f t="shared" si="2"/>
        <v>1857754</v>
      </c>
      <c r="H32" s="611"/>
      <c r="J32" s="610"/>
      <c r="K32" s="610"/>
    </row>
    <row r="33" spans="2:11" ht="20.100000000000001" customHeight="1" x14ac:dyDescent="0.3">
      <c r="B33" s="1265"/>
      <c r="C33" s="1281" t="s">
        <v>1025</v>
      </c>
      <c r="D33" s="1287" t="s">
        <v>1037</v>
      </c>
      <c r="E33" s="1267">
        <v>201300</v>
      </c>
      <c r="F33" s="1266">
        <v>17553</v>
      </c>
      <c r="G33" s="1268">
        <f t="shared" si="2"/>
        <v>183747</v>
      </c>
      <c r="H33" s="611"/>
      <c r="J33" s="610"/>
      <c r="K33" s="610"/>
    </row>
    <row r="34" spans="2:11" ht="20.100000000000001" customHeight="1" x14ac:dyDescent="0.3">
      <c r="B34" s="1265"/>
      <c r="C34" s="1281" t="s">
        <v>1025</v>
      </c>
      <c r="D34" s="1266" t="s">
        <v>1030</v>
      </c>
      <c r="E34" s="1267">
        <f>287278+21191+511214+1616319+1160164+42959+9272418+12221445+1750981+600669</f>
        <v>27484638</v>
      </c>
      <c r="F34" s="1266">
        <f>56763+3822+175846+370194+1474961+6470+189689+241803+165619+58317</f>
        <v>2743484</v>
      </c>
      <c r="G34" s="1268">
        <f t="shared" si="2"/>
        <v>24741154</v>
      </c>
      <c r="H34" s="611"/>
      <c r="J34" s="610"/>
      <c r="K34" s="610"/>
    </row>
    <row r="35" spans="2:11" ht="39" customHeight="1" x14ac:dyDescent="0.3">
      <c r="B35" s="1269"/>
      <c r="C35" s="1282" t="s">
        <v>1025</v>
      </c>
      <c r="D35" s="1283" t="s">
        <v>1038</v>
      </c>
      <c r="E35" s="1270">
        <v>6734606</v>
      </c>
      <c r="F35" s="1246">
        <v>855588</v>
      </c>
      <c r="G35" s="1268">
        <f t="shared" si="2"/>
        <v>5879018</v>
      </c>
      <c r="H35" s="611"/>
      <c r="J35" s="610"/>
      <c r="K35" s="610"/>
    </row>
    <row r="36" spans="2:11" s="614" customFormat="1" ht="20.100000000000001" customHeight="1" x14ac:dyDescent="0.3">
      <c r="B36" s="1272"/>
      <c r="C36" s="1278" t="s">
        <v>1022</v>
      </c>
      <c r="D36" s="1273"/>
      <c r="E36" s="1279">
        <f>SUM(E37:E39)</f>
        <v>7507292</v>
      </c>
      <c r="F36" s="1279">
        <f>SUM(F37:F39)</f>
        <v>609646</v>
      </c>
      <c r="G36" s="1280">
        <f>SUM(G37:G39)</f>
        <v>6897646</v>
      </c>
      <c r="H36" s="611"/>
      <c r="J36" s="610"/>
      <c r="K36" s="610"/>
    </row>
    <row r="37" spans="2:11" ht="20.100000000000001" customHeight="1" x14ac:dyDescent="0.3">
      <c r="B37" s="1269"/>
      <c r="C37" s="1245" t="s">
        <v>1025</v>
      </c>
      <c r="D37" s="1246" t="s">
        <v>1039</v>
      </c>
      <c r="E37" s="1270">
        <v>188773</v>
      </c>
      <c r="F37" s="1246">
        <v>11546</v>
      </c>
      <c r="G37" s="1271">
        <f>E37-F37</f>
        <v>177227</v>
      </c>
      <c r="H37" s="611"/>
      <c r="J37" s="610"/>
      <c r="K37" s="610"/>
    </row>
    <row r="38" spans="2:11" ht="20.100000000000001" customHeight="1" x14ac:dyDescent="0.3">
      <c r="B38" s="1265"/>
      <c r="C38" s="1281" t="s">
        <v>1025</v>
      </c>
      <c r="D38" s="1266" t="s">
        <v>1030</v>
      </c>
      <c r="E38" s="1267">
        <f>7301794+13659</f>
        <v>7315453</v>
      </c>
      <c r="F38" s="1266">
        <f>595555+1123</f>
        <v>596678</v>
      </c>
      <c r="G38" s="1268">
        <f>E38-F38</f>
        <v>6718775</v>
      </c>
      <c r="H38" s="611"/>
      <c r="J38" s="610"/>
      <c r="K38" s="610"/>
    </row>
    <row r="39" spans="2:11" ht="40.5" customHeight="1" x14ac:dyDescent="0.3">
      <c r="B39" s="1269"/>
      <c r="C39" s="1282" t="s">
        <v>1025</v>
      </c>
      <c r="D39" s="1283" t="s">
        <v>1040</v>
      </c>
      <c r="E39" s="1270">
        <v>3066</v>
      </c>
      <c r="F39" s="1246">
        <v>1422</v>
      </c>
      <c r="G39" s="1271">
        <f>E39-F39</f>
        <v>1644</v>
      </c>
      <c r="H39" s="611"/>
      <c r="J39" s="610"/>
      <c r="K39" s="610"/>
    </row>
    <row r="40" spans="2:11" s="613" customFormat="1" ht="20.100000000000001" customHeight="1" x14ac:dyDescent="0.3">
      <c r="B40" s="1272" t="s">
        <v>1041</v>
      </c>
      <c r="C40" s="1273" t="s">
        <v>1042</v>
      </c>
      <c r="D40" s="1273"/>
      <c r="E40" s="1274">
        <f>SUM(E41:E43)</f>
        <v>6862053</v>
      </c>
      <c r="F40" s="1274">
        <f>SUM(F41:F43)</f>
        <v>3670524</v>
      </c>
      <c r="G40" s="1275">
        <f>SUM(G41:G43)</f>
        <v>3191529</v>
      </c>
      <c r="H40" s="611"/>
      <c r="J40" s="610"/>
      <c r="K40" s="610"/>
    </row>
    <row r="41" spans="2:11" ht="20.100000000000001" customHeight="1" x14ac:dyDescent="0.3">
      <c r="B41" s="1269"/>
      <c r="C41" s="1246" t="s">
        <v>1043</v>
      </c>
      <c r="D41" s="1246"/>
      <c r="E41" s="1270">
        <v>984551</v>
      </c>
      <c r="F41" s="1246">
        <v>3927</v>
      </c>
      <c r="G41" s="1271">
        <f>E41-F41</f>
        <v>980624</v>
      </c>
      <c r="H41" s="611"/>
      <c r="J41" s="610"/>
      <c r="K41" s="610"/>
    </row>
    <row r="42" spans="2:11" ht="20.100000000000001" customHeight="1" x14ac:dyDescent="0.3">
      <c r="B42" s="1265"/>
      <c r="C42" s="1266" t="s">
        <v>1044</v>
      </c>
      <c r="D42" s="1266"/>
      <c r="E42" s="1267">
        <v>5859156</v>
      </c>
      <c r="F42" s="1266">
        <f>3648247+4</f>
        <v>3648251</v>
      </c>
      <c r="G42" s="1268">
        <f>E42-F42</f>
        <v>2210905</v>
      </c>
      <c r="H42" s="611"/>
      <c r="J42" s="610"/>
      <c r="K42" s="610"/>
    </row>
    <row r="43" spans="2:11" ht="20.100000000000001" customHeight="1" x14ac:dyDescent="0.3">
      <c r="B43" s="1288"/>
      <c r="C43" s="1289" t="s">
        <v>1045</v>
      </c>
      <c r="D43" s="1289"/>
      <c r="E43" s="1290">
        <v>18346</v>
      </c>
      <c r="F43" s="1289">
        <v>18346</v>
      </c>
      <c r="G43" s="1268">
        <f>E43-F43</f>
        <v>0</v>
      </c>
      <c r="H43" s="611"/>
      <c r="J43" s="610"/>
      <c r="K43" s="610"/>
    </row>
    <row r="44" spans="2:11" s="613" customFormat="1" ht="20.100000000000001" customHeight="1" x14ac:dyDescent="0.3">
      <c r="B44" s="1291" t="s">
        <v>725</v>
      </c>
      <c r="C44" s="1292" t="s">
        <v>1046</v>
      </c>
      <c r="D44" s="1292"/>
      <c r="E44" s="1293">
        <v>508</v>
      </c>
      <c r="F44" s="1293">
        <v>508</v>
      </c>
      <c r="G44" s="1294">
        <f>E44-F44</f>
        <v>0</v>
      </c>
      <c r="H44" s="611"/>
      <c r="J44" s="610"/>
      <c r="K44" s="610"/>
    </row>
    <row r="45" spans="2:11" s="613" customFormat="1" ht="20.100000000000001" customHeight="1" x14ac:dyDescent="0.3">
      <c r="B45" s="1261" t="s">
        <v>1047</v>
      </c>
      <c r="C45" s="1262" t="s">
        <v>726</v>
      </c>
      <c r="D45" s="1262"/>
      <c r="E45" s="1263">
        <f>SUM(E46:E47)</f>
        <v>2525385</v>
      </c>
      <c r="F45" s="1263">
        <f>SUM(F46:F47)</f>
        <v>0</v>
      </c>
      <c r="G45" s="1264">
        <f>SUM(G46:G47)</f>
        <v>2525385</v>
      </c>
      <c r="H45" s="611"/>
      <c r="J45" s="610"/>
      <c r="K45" s="610"/>
    </row>
    <row r="46" spans="2:11" ht="20.100000000000001" customHeight="1" x14ac:dyDescent="0.3">
      <c r="B46" s="1265"/>
      <c r="C46" s="1295" t="s">
        <v>1048</v>
      </c>
      <c r="D46" s="1295"/>
      <c r="E46" s="1296">
        <v>1905737</v>
      </c>
      <c r="F46" s="1295">
        <v>0</v>
      </c>
      <c r="G46" s="1268">
        <f>E46-F46</f>
        <v>1905737</v>
      </c>
      <c r="H46" s="611"/>
      <c r="J46" s="610"/>
      <c r="K46" s="610"/>
    </row>
    <row r="47" spans="2:11" ht="20.100000000000001" customHeight="1" x14ac:dyDescent="0.3">
      <c r="B47" s="1265"/>
      <c r="C47" s="1295" t="s">
        <v>1049</v>
      </c>
      <c r="D47" s="1295"/>
      <c r="E47" s="1296">
        <v>619648</v>
      </c>
      <c r="F47" s="1295">
        <v>0</v>
      </c>
      <c r="G47" s="1268">
        <f>E47-F47</f>
        <v>619648</v>
      </c>
      <c r="H47" s="611"/>
      <c r="J47" s="610"/>
      <c r="K47" s="610"/>
    </row>
    <row r="48" spans="2:11" s="613" customFormat="1" ht="20.100000000000001" customHeight="1" x14ac:dyDescent="0.3">
      <c r="B48" s="1297" t="s">
        <v>1050</v>
      </c>
      <c r="C48" s="1298" t="s">
        <v>1051</v>
      </c>
      <c r="D48" s="1299"/>
      <c r="E48" s="1300">
        <v>0</v>
      </c>
      <c r="F48" s="1299">
        <v>0</v>
      </c>
      <c r="G48" s="1301">
        <f>E48-F48</f>
        <v>0</v>
      </c>
      <c r="H48" s="611"/>
      <c r="J48" s="610"/>
      <c r="K48" s="610"/>
    </row>
    <row r="49" spans="2:11" s="611" customFormat="1" ht="20.100000000000001" customHeight="1" thickBot="1" x14ac:dyDescent="0.35">
      <c r="B49" s="1302" t="s">
        <v>736</v>
      </c>
      <c r="C49" s="1303" t="s">
        <v>1052</v>
      </c>
      <c r="D49" s="1304"/>
      <c r="E49" s="1305">
        <f>SUM(E50)</f>
        <v>6456011</v>
      </c>
      <c r="F49" s="1304"/>
      <c r="G49" s="1306">
        <f>SUM(G50:G52)</f>
        <v>6456011</v>
      </c>
      <c r="J49" s="610"/>
      <c r="K49" s="610"/>
    </row>
    <row r="50" spans="2:11" s="615" customFormat="1" ht="20.100000000000001" customHeight="1" x14ac:dyDescent="0.3">
      <c r="B50" s="1269" t="s">
        <v>1053</v>
      </c>
      <c r="C50" s="1246" t="s">
        <v>1054</v>
      </c>
      <c r="D50" s="1307"/>
      <c r="E50" s="1308">
        <v>6456011</v>
      </c>
      <c r="F50" s="1307"/>
      <c r="G50" s="1268">
        <v>6456011</v>
      </c>
      <c r="J50" s="610"/>
      <c r="K50" s="610"/>
    </row>
    <row r="51" spans="2:11" s="615" customFormat="1" ht="20.100000000000001" customHeight="1" x14ac:dyDescent="0.3">
      <c r="B51" s="1265" t="s">
        <v>734</v>
      </c>
      <c r="C51" s="1266" t="s">
        <v>1055</v>
      </c>
      <c r="D51" s="1295"/>
      <c r="E51" s="1296"/>
      <c r="F51" s="1295"/>
      <c r="G51" s="1268">
        <v>0</v>
      </c>
      <c r="J51" s="610"/>
      <c r="K51" s="610"/>
    </row>
    <row r="52" spans="2:11" s="615" customFormat="1" ht="20.100000000000001" customHeight="1" thickBot="1" x14ac:dyDescent="0.35">
      <c r="B52" s="1269" t="s">
        <v>1056</v>
      </c>
      <c r="C52" s="1246" t="s">
        <v>1057</v>
      </c>
      <c r="D52" s="1307"/>
      <c r="E52" s="1308"/>
      <c r="F52" s="1307"/>
      <c r="G52" s="1271">
        <v>0</v>
      </c>
      <c r="J52" s="610"/>
      <c r="K52" s="610"/>
    </row>
    <row r="53" spans="2:11" s="611" customFormat="1" ht="20.100000000000001" customHeight="1" thickBot="1" x14ac:dyDescent="0.35">
      <c r="B53" s="1249" t="s">
        <v>1058</v>
      </c>
      <c r="C53" s="1258" t="s">
        <v>1059</v>
      </c>
      <c r="D53" s="1309"/>
      <c r="E53" s="1310">
        <f>SUM(E54)</f>
        <v>945104</v>
      </c>
      <c r="F53" s="1310">
        <f>SUM(F54)</f>
        <v>68343</v>
      </c>
      <c r="G53" s="1311">
        <f>SUM(G54)</f>
        <v>876761</v>
      </c>
      <c r="J53" s="610"/>
      <c r="K53" s="610"/>
    </row>
    <row r="54" spans="2:11" ht="20.100000000000001" customHeight="1" thickBot="1" x14ac:dyDescent="0.35">
      <c r="B54" s="1269" t="s">
        <v>1060</v>
      </c>
      <c r="C54" s="1312" t="s">
        <v>1061</v>
      </c>
      <c r="D54" s="1307"/>
      <c r="E54" s="1308">
        <v>945104</v>
      </c>
      <c r="F54" s="1307">
        <v>68343</v>
      </c>
      <c r="G54" s="1271">
        <f>+E54-F54</f>
        <v>876761</v>
      </c>
      <c r="J54" s="610"/>
      <c r="K54" s="610"/>
    </row>
    <row r="55" spans="2:11" s="611" customFormat="1" ht="20.100000000000001" customHeight="1" thickBot="1" x14ac:dyDescent="0.35">
      <c r="B55" s="1249" t="s">
        <v>1062</v>
      </c>
      <c r="C55" s="1258" t="s">
        <v>1063</v>
      </c>
      <c r="D55" s="1309"/>
      <c r="E55" s="1313" t="s">
        <v>57</v>
      </c>
      <c r="F55" s="1314"/>
      <c r="G55" s="1260">
        <f>SUM(G56:G57)</f>
        <v>30449</v>
      </c>
      <c r="J55" s="610"/>
    </row>
    <row r="56" spans="2:11" s="615" customFormat="1" ht="20.100000000000001" customHeight="1" x14ac:dyDescent="0.3">
      <c r="B56" s="1269" t="s">
        <v>743</v>
      </c>
      <c r="C56" s="1246" t="s">
        <v>1064</v>
      </c>
      <c r="D56" s="1307"/>
      <c r="E56" s="1315" t="s">
        <v>57</v>
      </c>
      <c r="F56" s="1316"/>
      <c r="G56" s="1271">
        <v>30449</v>
      </c>
      <c r="J56" s="610"/>
    </row>
    <row r="57" spans="2:11" s="615" customFormat="1" ht="20.100000000000001" customHeight="1" x14ac:dyDescent="0.3">
      <c r="B57" s="1265" t="s">
        <v>745</v>
      </c>
      <c r="C57" s="1266" t="s">
        <v>744</v>
      </c>
      <c r="D57" s="1295"/>
      <c r="E57" s="1317" t="s">
        <v>57</v>
      </c>
      <c r="F57" s="1318"/>
      <c r="G57" s="1268">
        <v>0</v>
      </c>
      <c r="J57" s="610"/>
    </row>
    <row r="58" spans="2:11" ht="20.100000000000001" customHeight="1" thickBot="1" x14ac:dyDescent="0.35">
      <c r="B58" s="1269"/>
      <c r="C58" s="1246"/>
      <c r="D58" s="1307"/>
      <c r="E58" s="1315"/>
      <c r="F58" s="1316"/>
      <c r="G58" s="1319"/>
      <c r="J58" s="610"/>
    </row>
    <row r="59" spans="2:11" s="611" customFormat="1" ht="20.100000000000001" customHeight="1" thickBot="1" x14ac:dyDescent="0.35">
      <c r="B59" s="1249" t="s">
        <v>759</v>
      </c>
      <c r="C59" s="1258" t="s">
        <v>1065</v>
      </c>
      <c r="D59" s="1309"/>
      <c r="E59" s="1313"/>
      <c r="F59" s="1314"/>
      <c r="G59" s="1260">
        <f>SUM(G60:G63)</f>
        <v>7649426</v>
      </c>
      <c r="J59" s="610"/>
    </row>
    <row r="60" spans="2:11" s="615" customFormat="1" ht="20.100000000000001" customHeight="1" x14ac:dyDescent="0.3">
      <c r="B60" s="1269" t="s">
        <v>751</v>
      </c>
      <c r="C60" s="1246" t="s">
        <v>750</v>
      </c>
      <c r="D60" s="1307"/>
      <c r="E60" s="1315"/>
      <c r="F60" s="1316"/>
      <c r="G60" s="1320">
        <v>0</v>
      </c>
    </row>
    <row r="61" spans="2:11" s="615" customFormat="1" ht="20.100000000000001" customHeight="1" x14ac:dyDescent="0.3">
      <c r="B61" s="1265" t="s">
        <v>753</v>
      </c>
      <c r="C61" s="1266" t="s">
        <v>752</v>
      </c>
      <c r="D61" s="1295"/>
      <c r="E61" s="1317"/>
      <c r="F61" s="1318"/>
      <c r="G61" s="1321">
        <v>915</v>
      </c>
    </row>
    <row r="62" spans="2:11" s="615" customFormat="1" ht="20.100000000000001" customHeight="1" x14ac:dyDescent="0.3">
      <c r="B62" s="1269" t="s">
        <v>755</v>
      </c>
      <c r="C62" s="1246" t="s">
        <v>754</v>
      </c>
      <c r="D62" s="1307"/>
      <c r="E62" s="1315"/>
      <c r="F62" s="1316"/>
      <c r="G62" s="1320">
        <v>7600875</v>
      </c>
    </row>
    <row r="63" spans="2:11" s="615" customFormat="1" ht="20.100000000000001" customHeight="1" x14ac:dyDescent="0.3">
      <c r="B63" s="1265" t="s">
        <v>1066</v>
      </c>
      <c r="C63" s="1266" t="s">
        <v>756</v>
      </c>
      <c r="D63" s="1295"/>
      <c r="E63" s="1317"/>
      <c r="F63" s="1318"/>
      <c r="G63" s="1321">
        <v>47636</v>
      </c>
    </row>
    <row r="64" spans="2:11" ht="20.100000000000001" customHeight="1" thickBot="1" x14ac:dyDescent="0.35">
      <c r="B64" s="1269"/>
      <c r="C64" s="1246"/>
      <c r="D64" s="1307"/>
      <c r="E64" s="1315"/>
      <c r="F64" s="1316"/>
      <c r="G64" s="1319"/>
    </row>
    <row r="65" spans="2:7" ht="20.100000000000001" customHeight="1" x14ac:dyDescent="0.3">
      <c r="B65" s="1322"/>
      <c r="C65" s="1323"/>
      <c r="D65" s="1324"/>
      <c r="E65" s="1325"/>
      <c r="F65" s="1326"/>
      <c r="G65" s="1327"/>
    </row>
    <row r="66" spans="2:7" s="612" customFormat="1" ht="20.100000000000001" customHeight="1" x14ac:dyDescent="0.3">
      <c r="B66" s="1328" t="s">
        <v>1067</v>
      </c>
      <c r="C66" s="1262"/>
      <c r="D66" s="1262"/>
      <c r="E66" s="1329"/>
      <c r="F66" s="1330"/>
      <c r="G66" s="1331"/>
    </row>
    <row r="67" spans="2:7" s="614" customFormat="1" ht="20.100000000000001" customHeight="1" x14ac:dyDescent="0.3">
      <c r="B67" s="1261"/>
      <c r="C67" s="1262" t="s">
        <v>1068</v>
      </c>
      <c r="D67" s="1262"/>
      <c r="E67" s="1263">
        <f>SUM(E68:E71)</f>
        <v>2552102</v>
      </c>
      <c r="F67" s="1263">
        <f>SUM(F68:F71)</f>
        <v>2552102</v>
      </c>
      <c r="G67" s="1264">
        <f>SUM(G68:G71)</f>
        <v>0</v>
      </c>
    </row>
    <row r="68" spans="2:7" s="615" customFormat="1" ht="20.100000000000001" customHeight="1" x14ac:dyDescent="0.3">
      <c r="B68" s="1265"/>
      <c r="C68" s="1266" t="s">
        <v>1018</v>
      </c>
      <c r="D68" s="1266"/>
      <c r="E68" s="1267">
        <v>305776</v>
      </c>
      <c r="F68" s="1267">
        <v>305776</v>
      </c>
      <c r="G68" s="1268">
        <f>+E68-F68</f>
        <v>0</v>
      </c>
    </row>
    <row r="69" spans="2:7" s="615" customFormat="1" ht="20.100000000000001" customHeight="1" x14ac:dyDescent="0.3">
      <c r="B69" s="1269"/>
      <c r="C69" s="1246" t="s">
        <v>1069</v>
      </c>
      <c r="D69" s="1246"/>
      <c r="E69" s="1270">
        <v>84383</v>
      </c>
      <c r="F69" s="1270">
        <v>84383</v>
      </c>
      <c r="G69" s="1268">
        <f>+E69-F69</f>
        <v>0</v>
      </c>
    </row>
    <row r="70" spans="2:7" s="615" customFormat="1" ht="20.100000000000001" customHeight="1" x14ac:dyDescent="0.3">
      <c r="B70" s="1265"/>
      <c r="C70" s="1266" t="s">
        <v>1070</v>
      </c>
      <c r="D70" s="1266"/>
      <c r="E70" s="1267">
        <v>2161943</v>
      </c>
      <c r="F70" s="1267">
        <v>2161943</v>
      </c>
      <c r="G70" s="1268">
        <f>+E70-F70</f>
        <v>0</v>
      </c>
    </row>
    <row r="71" spans="2:7" s="615" customFormat="1" ht="19.5" customHeight="1" x14ac:dyDescent="0.3">
      <c r="B71" s="1265"/>
      <c r="C71" s="1266" t="s">
        <v>724</v>
      </c>
      <c r="D71" s="1266"/>
      <c r="E71" s="1267">
        <v>0</v>
      </c>
      <c r="F71" s="1267">
        <v>0</v>
      </c>
      <c r="G71" s="1268">
        <f>+E71-F71</f>
        <v>0</v>
      </c>
    </row>
    <row r="72" spans="2:7" s="612" customFormat="1" ht="19.5" customHeight="1" x14ac:dyDescent="0.3">
      <c r="B72" s="1261"/>
      <c r="C72" s="1246"/>
      <c r="D72" s="1262"/>
      <c r="E72" s="1332"/>
      <c r="F72" s="1330"/>
      <c r="G72" s="1331"/>
    </row>
    <row r="73" spans="2:7" s="614" customFormat="1" ht="20.100000000000001" customHeight="1" x14ac:dyDescent="0.3">
      <c r="B73" s="1261"/>
      <c r="C73" s="1262" t="s">
        <v>1071</v>
      </c>
      <c r="D73" s="1262"/>
      <c r="E73" s="1263">
        <f>SUM(E74:E76)</f>
        <v>588247</v>
      </c>
      <c r="F73" s="1263">
        <f>SUM(F74:F76)</f>
        <v>588247</v>
      </c>
      <c r="G73" s="1264">
        <f>SUM(G74:G76)</f>
        <v>0</v>
      </c>
    </row>
    <row r="74" spans="2:7" s="612" customFormat="1" ht="19.5" customHeight="1" x14ac:dyDescent="0.3">
      <c r="B74" s="1272"/>
      <c r="C74" s="1266" t="s">
        <v>1072</v>
      </c>
      <c r="D74" s="1273"/>
      <c r="E74" s="1267">
        <v>35845</v>
      </c>
      <c r="F74" s="1266">
        <v>35845</v>
      </c>
      <c r="G74" s="1268">
        <f>+E74-F74</f>
        <v>0</v>
      </c>
    </row>
    <row r="75" spans="2:7" s="612" customFormat="1" ht="20.100000000000001" customHeight="1" x14ac:dyDescent="0.3">
      <c r="B75" s="1261"/>
      <c r="C75" s="1246" t="s">
        <v>1073</v>
      </c>
      <c r="D75" s="1262"/>
      <c r="E75" s="1270">
        <v>22247</v>
      </c>
      <c r="F75" s="1246">
        <v>22247</v>
      </c>
      <c r="G75" s="1268">
        <f>+E75-F75</f>
        <v>0</v>
      </c>
    </row>
    <row r="76" spans="2:7" s="612" customFormat="1" ht="20.100000000000001" customHeight="1" x14ac:dyDescent="0.3">
      <c r="B76" s="1272"/>
      <c r="C76" s="1266" t="s">
        <v>1074</v>
      </c>
      <c r="D76" s="1273"/>
      <c r="E76" s="1267">
        <v>530155</v>
      </c>
      <c r="F76" s="1266">
        <v>530155</v>
      </c>
      <c r="G76" s="1268">
        <f>+E76-F76</f>
        <v>0</v>
      </c>
    </row>
    <row r="77" spans="2:7" s="612" customFormat="1" ht="20.100000000000001" customHeight="1" x14ac:dyDescent="0.3">
      <c r="B77" s="1261"/>
      <c r="C77" s="1246"/>
      <c r="D77" s="1262"/>
      <c r="E77" s="1332"/>
      <c r="F77" s="1333"/>
      <c r="G77" s="1319"/>
    </row>
    <row r="78" spans="2:7" s="612" customFormat="1" ht="20.100000000000001" customHeight="1" x14ac:dyDescent="0.3">
      <c r="B78" s="1261"/>
      <c r="C78" s="1262" t="s">
        <v>1075</v>
      </c>
      <c r="D78" s="1262"/>
      <c r="E78" s="1329"/>
      <c r="F78" s="1329"/>
      <c r="G78" s="1334"/>
    </row>
    <row r="79" spans="2:7" s="612" customFormat="1" ht="20.100000000000001" customHeight="1" x14ac:dyDescent="0.3">
      <c r="B79" s="1272"/>
      <c r="C79" s="1273" t="s">
        <v>1076</v>
      </c>
      <c r="D79" s="1273"/>
      <c r="E79" s="1335"/>
      <c r="F79" s="1335"/>
      <c r="G79" s="1331"/>
    </row>
    <row r="80" spans="2:7" s="615" customFormat="1" ht="36.75" customHeight="1" x14ac:dyDescent="0.3">
      <c r="B80" s="1269"/>
      <c r="C80" s="2193" t="s">
        <v>1077</v>
      </c>
      <c r="D80" s="2194"/>
      <c r="E80" s="1270">
        <v>989980</v>
      </c>
      <c r="F80" s="1332"/>
      <c r="G80" s="1336"/>
    </row>
    <row r="81" spans="2:7" s="615" customFormat="1" ht="20.100000000000001" customHeight="1" x14ac:dyDescent="0.3">
      <c r="B81" s="1265"/>
      <c r="C81" s="1266" t="s">
        <v>1078</v>
      </c>
      <c r="D81" s="1266"/>
      <c r="E81" s="1267"/>
      <c r="F81" s="1337"/>
      <c r="G81" s="1336"/>
    </row>
    <row r="82" spans="2:7" s="615" customFormat="1" ht="20.100000000000001" customHeight="1" x14ac:dyDescent="0.3">
      <c r="B82" s="1269"/>
      <c r="C82" s="1246" t="s">
        <v>1079</v>
      </c>
      <c r="D82" s="1246"/>
      <c r="E82" s="1270">
        <v>74545</v>
      </c>
      <c r="F82" s="1332"/>
      <c r="G82" s="1336"/>
    </row>
    <row r="83" spans="2:7" s="615" customFormat="1" ht="20.100000000000001" customHeight="1" x14ac:dyDescent="0.3">
      <c r="B83" s="1265"/>
      <c r="C83" s="1266" t="s">
        <v>1080</v>
      </c>
      <c r="D83" s="1266"/>
      <c r="E83" s="1267">
        <v>18538376</v>
      </c>
      <c r="F83" s="1337"/>
      <c r="G83" s="1336"/>
    </row>
    <row r="84" spans="2:7" ht="20.100000000000001" customHeight="1" x14ac:dyDescent="0.3">
      <c r="B84" s="1269"/>
      <c r="C84" s="1246"/>
      <c r="D84" s="1246"/>
      <c r="E84" s="1332"/>
      <c r="F84" s="1333"/>
      <c r="G84" s="1319"/>
    </row>
    <row r="85" spans="2:7" s="613" customFormat="1" ht="20.100000000000001" customHeight="1" x14ac:dyDescent="0.3">
      <c r="B85" s="1338"/>
      <c r="C85" s="1273" t="s">
        <v>1081</v>
      </c>
      <c r="D85" s="1273"/>
      <c r="E85" s="1274">
        <f>SUM(E86:E89)</f>
        <v>10442291</v>
      </c>
      <c r="F85" s="1274">
        <f>SUM(F86:F89)</f>
        <v>4684278</v>
      </c>
      <c r="G85" s="1275">
        <f>SUM(G86:G89)</f>
        <v>5758013</v>
      </c>
    </row>
    <row r="86" spans="2:7" s="615" customFormat="1" ht="33" customHeight="1" x14ac:dyDescent="0.3">
      <c r="B86" s="1269"/>
      <c r="C86" s="2195" t="s">
        <v>1082</v>
      </c>
      <c r="D86" s="2196"/>
      <c r="E86" s="1270">
        <v>4849000</v>
      </c>
      <c r="F86" s="1246">
        <f>2048577</f>
        <v>2048577</v>
      </c>
      <c r="G86" s="1271">
        <f>+E86-F86</f>
        <v>2800423</v>
      </c>
    </row>
    <row r="87" spans="2:7" s="615" customFormat="1" ht="33" customHeight="1" x14ac:dyDescent="0.3">
      <c r="B87" s="1265"/>
      <c r="C87" s="2187" t="s">
        <v>1083</v>
      </c>
      <c r="D87" s="2188"/>
      <c r="E87" s="1267">
        <v>4439450</v>
      </c>
      <c r="F87" s="1266">
        <v>2006562</v>
      </c>
      <c r="G87" s="1268">
        <f>+E87-F87</f>
        <v>2432888</v>
      </c>
    </row>
    <row r="88" spans="2:7" s="615" customFormat="1" ht="33" customHeight="1" x14ac:dyDescent="0.3">
      <c r="B88" s="1265"/>
      <c r="C88" s="2187" t="s">
        <v>1084</v>
      </c>
      <c r="D88" s="2188"/>
      <c r="E88" s="1267">
        <v>629459</v>
      </c>
      <c r="F88" s="1266">
        <f>345176-1</f>
        <v>345175</v>
      </c>
      <c r="G88" s="1268">
        <f>+E88-F88</f>
        <v>284284</v>
      </c>
    </row>
    <row r="89" spans="2:7" s="615" customFormat="1" ht="33" customHeight="1" x14ac:dyDescent="0.3">
      <c r="B89" s="1265"/>
      <c r="C89" s="2187" t="s">
        <v>1085</v>
      </c>
      <c r="D89" s="2188"/>
      <c r="E89" s="1267">
        <v>524382</v>
      </c>
      <c r="F89" s="1266">
        <v>283964</v>
      </c>
      <c r="G89" s="1268">
        <f>+E89-F89</f>
        <v>240418</v>
      </c>
    </row>
    <row r="90" spans="2:7" s="614" customFormat="1" ht="20.100000000000001" customHeight="1" thickBot="1" x14ac:dyDescent="0.35">
      <c r="B90" s="1302"/>
      <c r="C90" s="1303"/>
      <c r="D90" s="1303"/>
      <c r="E90" s="1339"/>
      <c r="F90" s="1340"/>
      <c r="G90" s="1341"/>
    </row>
  </sheetData>
  <mergeCells count="7">
    <mergeCell ref="C89:D89"/>
    <mergeCell ref="B5:G5"/>
    <mergeCell ref="E7:G7"/>
    <mergeCell ref="C80:D80"/>
    <mergeCell ref="C86:D86"/>
    <mergeCell ref="C87:D87"/>
    <mergeCell ref="C88:D88"/>
  </mergeCells>
  <printOptions horizontalCentered="1" verticalCentered="1"/>
  <pageMargins left="0.39370078740157483" right="0.39370078740157483" top="0.19685039370078741" bottom="0.19685039370078741" header="0.19685039370078741" footer="0.19685039370078741"/>
  <pageSetup paperSize="9" scale="60" orientation="portrait" r:id="rId1"/>
  <headerFooter alignWithMargins="0">
    <oddHeader>&amp;R&amp;"Arial,Félkövér"&amp;14 &amp;"Calibri,Félkövér"&amp;11 28. melléklet a 13/2023. (V.26.) önkormányzati rendelethez</oddHeader>
  </headerFooter>
  <rowBreaks count="1" manualBreakCount="1">
    <brk id="48" min="1" max="6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CD4C3-649F-4C4F-9842-504326CA00F7}">
  <dimension ref="A1:K34"/>
  <sheetViews>
    <sheetView view="pageLayout" topLeftCell="A112" zoomScaleNormal="100" workbookViewId="0">
      <selection activeCell="I122" sqref="I122"/>
    </sheetView>
  </sheetViews>
  <sheetFormatPr defaultRowHeight="14.25" x14ac:dyDescent="0.2"/>
  <cols>
    <col min="1" max="1" width="22.5" style="653" customWidth="1"/>
    <col min="2" max="2" width="15.33203125" style="653" customWidth="1"/>
    <col min="3" max="3" width="16.5" style="653" customWidth="1"/>
    <col min="4" max="4" width="16.6640625" style="653" customWidth="1"/>
    <col min="5" max="5" width="38" style="653" customWidth="1"/>
    <col min="6" max="6" width="19.83203125" style="653" bestFit="1" customWidth="1"/>
    <col min="7" max="7" width="20" style="653" bestFit="1" customWidth="1"/>
    <col min="8" max="8" width="21.33203125" style="654" customWidth="1"/>
    <col min="9" max="9" width="18.33203125" style="653" customWidth="1"/>
    <col min="10" max="10" width="15.33203125" style="654" customWidth="1"/>
    <col min="11" max="11" width="17.83203125" style="653" customWidth="1"/>
    <col min="12" max="222" width="9.33203125" style="653"/>
    <col min="223" max="223" width="22.5" style="653" customWidth="1"/>
    <col min="224" max="224" width="15.33203125" style="653" customWidth="1"/>
    <col min="225" max="225" width="16.5" style="653" customWidth="1"/>
    <col min="226" max="226" width="16.6640625" style="653" customWidth="1"/>
    <col min="227" max="227" width="38" style="653" customWidth="1"/>
    <col min="228" max="228" width="19.83203125" style="653" bestFit="1" customWidth="1"/>
    <col min="229" max="229" width="20" style="653" bestFit="1" customWidth="1"/>
    <col min="230" max="230" width="21.33203125" style="653" customWidth="1"/>
    <col min="231" max="231" width="17" style="653" bestFit="1" customWidth="1"/>
    <col min="232" max="232" width="13.1640625" style="653" bestFit="1" customWidth="1"/>
    <col min="233" max="233" width="17.83203125" style="653" customWidth="1"/>
    <col min="234" max="234" width="18.1640625" style="653" bestFit="1" customWidth="1"/>
    <col min="235" max="235" width="16" style="653" bestFit="1" customWidth="1"/>
    <col min="236" max="236" width="14.6640625" style="653" bestFit="1" customWidth="1"/>
    <col min="237" max="478" width="9.33203125" style="653"/>
    <col min="479" max="479" width="22.5" style="653" customWidth="1"/>
    <col min="480" max="480" width="15.33203125" style="653" customWidth="1"/>
    <col min="481" max="481" width="16.5" style="653" customWidth="1"/>
    <col min="482" max="482" width="16.6640625" style="653" customWidth="1"/>
    <col min="483" max="483" width="38" style="653" customWidth="1"/>
    <col min="484" max="484" width="19.83203125" style="653" bestFit="1" customWidth="1"/>
    <col min="485" max="485" width="20" style="653" bestFit="1" customWidth="1"/>
    <col min="486" max="486" width="21.33203125" style="653" customWidth="1"/>
    <col min="487" max="487" width="17" style="653" bestFit="1" customWidth="1"/>
    <col min="488" max="488" width="13.1640625" style="653" bestFit="1" customWidth="1"/>
    <col min="489" max="489" width="17.83203125" style="653" customWidth="1"/>
    <col min="490" max="490" width="18.1640625" style="653" bestFit="1" customWidth="1"/>
    <col min="491" max="491" width="16" style="653" bestFit="1" customWidth="1"/>
    <col min="492" max="492" width="14.6640625" style="653" bestFit="1" customWidth="1"/>
    <col min="493" max="734" width="9.33203125" style="653"/>
    <col min="735" max="735" width="22.5" style="653" customWidth="1"/>
    <col min="736" max="736" width="15.33203125" style="653" customWidth="1"/>
    <col min="737" max="737" width="16.5" style="653" customWidth="1"/>
    <col min="738" max="738" width="16.6640625" style="653" customWidth="1"/>
    <col min="739" max="739" width="38" style="653" customWidth="1"/>
    <col min="740" max="740" width="19.83203125" style="653" bestFit="1" customWidth="1"/>
    <col min="741" max="741" width="20" style="653" bestFit="1" customWidth="1"/>
    <col min="742" max="742" width="21.33203125" style="653" customWidth="1"/>
    <col min="743" max="743" width="17" style="653" bestFit="1" customWidth="1"/>
    <col min="744" max="744" width="13.1640625" style="653" bestFit="1" customWidth="1"/>
    <col min="745" max="745" width="17.83203125" style="653" customWidth="1"/>
    <col min="746" max="746" width="18.1640625" style="653" bestFit="1" customWidth="1"/>
    <col min="747" max="747" width="16" style="653" bestFit="1" customWidth="1"/>
    <col min="748" max="748" width="14.6640625" style="653" bestFit="1" customWidth="1"/>
    <col min="749" max="990" width="9.33203125" style="653"/>
    <col min="991" max="991" width="22.5" style="653" customWidth="1"/>
    <col min="992" max="992" width="15.33203125" style="653" customWidth="1"/>
    <col min="993" max="993" width="16.5" style="653" customWidth="1"/>
    <col min="994" max="994" width="16.6640625" style="653" customWidth="1"/>
    <col min="995" max="995" width="38" style="653" customWidth="1"/>
    <col min="996" max="996" width="19.83203125" style="653" bestFit="1" customWidth="1"/>
    <col min="997" max="997" width="20" style="653" bestFit="1" customWidth="1"/>
    <col min="998" max="998" width="21.33203125" style="653" customWidth="1"/>
    <col min="999" max="999" width="17" style="653" bestFit="1" customWidth="1"/>
    <col min="1000" max="1000" width="13.1640625" style="653" bestFit="1" customWidth="1"/>
    <col min="1001" max="1001" width="17.83203125" style="653" customWidth="1"/>
    <col min="1002" max="1002" width="18.1640625" style="653" bestFit="1" customWidth="1"/>
    <col min="1003" max="1003" width="16" style="653" bestFit="1" customWidth="1"/>
    <col min="1004" max="1004" width="14.6640625" style="653" bestFit="1" customWidth="1"/>
    <col min="1005" max="1246" width="9.33203125" style="653"/>
    <col min="1247" max="1247" width="22.5" style="653" customWidth="1"/>
    <col min="1248" max="1248" width="15.33203125" style="653" customWidth="1"/>
    <col min="1249" max="1249" width="16.5" style="653" customWidth="1"/>
    <col min="1250" max="1250" width="16.6640625" style="653" customWidth="1"/>
    <col min="1251" max="1251" width="38" style="653" customWidth="1"/>
    <col min="1252" max="1252" width="19.83203125" style="653" bestFit="1" customWidth="1"/>
    <col min="1253" max="1253" width="20" style="653" bestFit="1" customWidth="1"/>
    <col min="1254" max="1254" width="21.33203125" style="653" customWidth="1"/>
    <col min="1255" max="1255" width="17" style="653" bestFit="1" customWidth="1"/>
    <col min="1256" max="1256" width="13.1640625" style="653" bestFit="1" customWidth="1"/>
    <col min="1257" max="1257" width="17.83203125" style="653" customWidth="1"/>
    <col min="1258" max="1258" width="18.1640625" style="653" bestFit="1" customWidth="1"/>
    <col min="1259" max="1259" width="16" style="653" bestFit="1" customWidth="1"/>
    <col min="1260" max="1260" width="14.6640625" style="653" bestFit="1" customWidth="1"/>
    <col min="1261" max="1502" width="9.33203125" style="653"/>
    <col min="1503" max="1503" width="22.5" style="653" customWidth="1"/>
    <col min="1504" max="1504" width="15.33203125" style="653" customWidth="1"/>
    <col min="1505" max="1505" width="16.5" style="653" customWidth="1"/>
    <col min="1506" max="1506" width="16.6640625" style="653" customWidth="1"/>
    <col min="1507" max="1507" width="38" style="653" customWidth="1"/>
    <col min="1508" max="1508" width="19.83203125" style="653" bestFit="1" customWidth="1"/>
    <col min="1509" max="1509" width="20" style="653" bestFit="1" customWidth="1"/>
    <col min="1510" max="1510" width="21.33203125" style="653" customWidth="1"/>
    <col min="1511" max="1511" width="17" style="653" bestFit="1" customWidth="1"/>
    <col min="1512" max="1512" width="13.1640625" style="653" bestFit="1" customWidth="1"/>
    <col min="1513" max="1513" width="17.83203125" style="653" customWidth="1"/>
    <col min="1514" max="1514" width="18.1640625" style="653" bestFit="1" customWidth="1"/>
    <col min="1515" max="1515" width="16" style="653" bestFit="1" customWidth="1"/>
    <col min="1516" max="1516" width="14.6640625" style="653" bestFit="1" customWidth="1"/>
    <col min="1517" max="1758" width="9.33203125" style="653"/>
    <col min="1759" max="1759" width="22.5" style="653" customWidth="1"/>
    <col min="1760" max="1760" width="15.33203125" style="653" customWidth="1"/>
    <col min="1761" max="1761" width="16.5" style="653" customWidth="1"/>
    <col min="1762" max="1762" width="16.6640625" style="653" customWidth="1"/>
    <col min="1763" max="1763" width="38" style="653" customWidth="1"/>
    <col min="1764" max="1764" width="19.83203125" style="653" bestFit="1" customWidth="1"/>
    <col min="1765" max="1765" width="20" style="653" bestFit="1" customWidth="1"/>
    <col min="1766" max="1766" width="21.33203125" style="653" customWidth="1"/>
    <col min="1767" max="1767" width="17" style="653" bestFit="1" customWidth="1"/>
    <col min="1768" max="1768" width="13.1640625" style="653" bestFit="1" customWidth="1"/>
    <col min="1769" max="1769" width="17.83203125" style="653" customWidth="1"/>
    <col min="1770" max="1770" width="18.1640625" style="653" bestFit="1" customWidth="1"/>
    <col min="1771" max="1771" width="16" style="653" bestFit="1" customWidth="1"/>
    <col min="1772" max="1772" width="14.6640625" style="653" bestFit="1" customWidth="1"/>
    <col min="1773" max="2014" width="9.33203125" style="653"/>
    <col min="2015" max="2015" width="22.5" style="653" customWidth="1"/>
    <col min="2016" max="2016" width="15.33203125" style="653" customWidth="1"/>
    <col min="2017" max="2017" width="16.5" style="653" customWidth="1"/>
    <col min="2018" max="2018" width="16.6640625" style="653" customWidth="1"/>
    <col min="2019" max="2019" width="38" style="653" customWidth="1"/>
    <col min="2020" max="2020" width="19.83203125" style="653" bestFit="1" customWidth="1"/>
    <col min="2021" max="2021" width="20" style="653" bestFit="1" customWidth="1"/>
    <col min="2022" max="2022" width="21.33203125" style="653" customWidth="1"/>
    <col min="2023" max="2023" width="17" style="653" bestFit="1" customWidth="1"/>
    <col min="2024" max="2024" width="13.1640625" style="653" bestFit="1" customWidth="1"/>
    <col min="2025" max="2025" width="17.83203125" style="653" customWidth="1"/>
    <col min="2026" max="2026" width="18.1640625" style="653" bestFit="1" customWidth="1"/>
    <col min="2027" max="2027" width="16" style="653" bestFit="1" customWidth="1"/>
    <col min="2028" max="2028" width="14.6640625" style="653" bestFit="1" customWidth="1"/>
    <col min="2029" max="2270" width="9.33203125" style="653"/>
    <col min="2271" max="2271" width="22.5" style="653" customWidth="1"/>
    <col min="2272" max="2272" width="15.33203125" style="653" customWidth="1"/>
    <col min="2273" max="2273" width="16.5" style="653" customWidth="1"/>
    <col min="2274" max="2274" width="16.6640625" style="653" customWidth="1"/>
    <col min="2275" max="2275" width="38" style="653" customWidth="1"/>
    <col min="2276" max="2276" width="19.83203125" style="653" bestFit="1" customWidth="1"/>
    <col min="2277" max="2277" width="20" style="653" bestFit="1" customWidth="1"/>
    <col min="2278" max="2278" width="21.33203125" style="653" customWidth="1"/>
    <col min="2279" max="2279" width="17" style="653" bestFit="1" customWidth="1"/>
    <col min="2280" max="2280" width="13.1640625" style="653" bestFit="1" customWidth="1"/>
    <col min="2281" max="2281" width="17.83203125" style="653" customWidth="1"/>
    <col min="2282" max="2282" width="18.1640625" style="653" bestFit="1" customWidth="1"/>
    <col min="2283" max="2283" width="16" style="653" bestFit="1" customWidth="1"/>
    <col min="2284" max="2284" width="14.6640625" style="653" bestFit="1" customWidth="1"/>
    <col min="2285" max="2526" width="9.33203125" style="653"/>
    <col min="2527" max="2527" width="22.5" style="653" customWidth="1"/>
    <col min="2528" max="2528" width="15.33203125" style="653" customWidth="1"/>
    <col min="2529" max="2529" width="16.5" style="653" customWidth="1"/>
    <col min="2530" max="2530" width="16.6640625" style="653" customWidth="1"/>
    <col min="2531" max="2531" width="38" style="653" customWidth="1"/>
    <col min="2532" max="2532" width="19.83203125" style="653" bestFit="1" customWidth="1"/>
    <col min="2533" max="2533" width="20" style="653" bestFit="1" customWidth="1"/>
    <col min="2534" max="2534" width="21.33203125" style="653" customWidth="1"/>
    <col min="2535" max="2535" width="17" style="653" bestFit="1" customWidth="1"/>
    <col min="2536" max="2536" width="13.1640625" style="653" bestFit="1" customWidth="1"/>
    <col min="2537" max="2537" width="17.83203125" style="653" customWidth="1"/>
    <col min="2538" max="2538" width="18.1640625" style="653" bestFit="1" customWidth="1"/>
    <col min="2539" max="2539" width="16" style="653" bestFit="1" customWidth="1"/>
    <col min="2540" max="2540" width="14.6640625" style="653" bestFit="1" customWidth="1"/>
    <col min="2541" max="2782" width="9.33203125" style="653"/>
    <col min="2783" max="2783" width="22.5" style="653" customWidth="1"/>
    <col min="2784" max="2784" width="15.33203125" style="653" customWidth="1"/>
    <col min="2785" max="2785" width="16.5" style="653" customWidth="1"/>
    <col min="2786" max="2786" width="16.6640625" style="653" customWidth="1"/>
    <col min="2787" max="2787" width="38" style="653" customWidth="1"/>
    <col min="2788" max="2788" width="19.83203125" style="653" bestFit="1" customWidth="1"/>
    <col min="2789" max="2789" width="20" style="653" bestFit="1" customWidth="1"/>
    <col min="2790" max="2790" width="21.33203125" style="653" customWidth="1"/>
    <col min="2791" max="2791" width="17" style="653" bestFit="1" customWidth="1"/>
    <col min="2792" max="2792" width="13.1640625" style="653" bestFit="1" customWidth="1"/>
    <col min="2793" max="2793" width="17.83203125" style="653" customWidth="1"/>
    <col min="2794" max="2794" width="18.1640625" style="653" bestFit="1" customWidth="1"/>
    <col min="2795" max="2795" width="16" style="653" bestFit="1" customWidth="1"/>
    <col min="2796" max="2796" width="14.6640625" style="653" bestFit="1" customWidth="1"/>
    <col min="2797" max="3038" width="9.33203125" style="653"/>
    <col min="3039" max="3039" width="22.5" style="653" customWidth="1"/>
    <col min="3040" max="3040" width="15.33203125" style="653" customWidth="1"/>
    <col min="3041" max="3041" width="16.5" style="653" customWidth="1"/>
    <col min="3042" max="3042" width="16.6640625" style="653" customWidth="1"/>
    <col min="3043" max="3043" width="38" style="653" customWidth="1"/>
    <col min="3044" max="3044" width="19.83203125" style="653" bestFit="1" customWidth="1"/>
    <col min="3045" max="3045" width="20" style="653" bestFit="1" customWidth="1"/>
    <col min="3046" max="3046" width="21.33203125" style="653" customWidth="1"/>
    <col min="3047" max="3047" width="17" style="653" bestFit="1" customWidth="1"/>
    <col min="3048" max="3048" width="13.1640625" style="653" bestFit="1" customWidth="1"/>
    <col min="3049" max="3049" width="17.83203125" style="653" customWidth="1"/>
    <col min="3050" max="3050" width="18.1640625" style="653" bestFit="1" customWidth="1"/>
    <col min="3051" max="3051" width="16" style="653" bestFit="1" customWidth="1"/>
    <col min="3052" max="3052" width="14.6640625" style="653" bestFit="1" customWidth="1"/>
    <col min="3053" max="3294" width="9.33203125" style="653"/>
    <col min="3295" max="3295" width="22.5" style="653" customWidth="1"/>
    <col min="3296" max="3296" width="15.33203125" style="653" customWidth="1"/>
    <col min="3297" max="3297" width="16.5" style="653" customWidth="1"/>
    <col min="3298" max="3298" width="16.6640625" style="653" customWidth="1"/>
    <col min="3299" max="3299" width="38" style="653" customWidth="1"/>
    <col min="3300" max="3300" width="19.83203125" style="653" bestFit="1" customWidth="1"/>
    <col min="3301" max="3301" width="20" style="653" bestFit="1" customWidth="1"/>
    <col min="3302" max="3302" width="21.33203125" style="653" customWidth="1"/>
    <col min="3303" max="3303" width="17" style="653" bestFit="1" customWidth="1"/>
    <col min="3304" max="3304" width="13.1640625" style="653" bestFit="1" customWidth="1"/>
    <col min="3305" max="3305" width="17.83203125" style="653" customWidth="1"/>
    <col min="3306" max="3306" width="18.1640625" style="653" bestFit="1" customWidth="1"/>
    <col min="3307" max="3307" width="16" style="653" bestFit="1" customWidth="1"/>
    <col min="3308" max="3308" width="14.6640625" style="653" bestFit="1" customWidth="1"/>
    <col min="3309" max="3550" width="9.33203125" style="653"/>
    <col min="3551" max="3551" width="22.5" style="653" customWidth="1"/>
    <col min="3552" max="3552" width="15.33203125" style="653" customWidth="1"/>
    <col min="3553" max="3553" width="16.5" style="653" customWidth="1"/>
    <col min="3554" max="3554" width="16.6640625" style="653" customWidth="1"/>
    <col min="3555" max="3555" width="38" style="653" customWidth="1"/>
    <col min="3556" max="3556" width="19.83203125" style="653" bestFit="1" customWidth="1"/>
    <col min="3557" max="3557" width="20" style="653" bestFit="1" customWidth="1"/>
    <col min="3558" max="3558" width="21.33203125" style="653" customWidth="1"/>
    <col min="3559" max="3559" width="17" style="653" bestFit="1" customWidth="1"/>
    <col min="3560" max="3560" width="13.1640625" style="653" bestFit="1" customWidth="1"/>
    <col min="3561" max="3561" width="17.83203125" style="653" customWidth="1"/>
    <col min="3562" max="3562" width="18.1640625" style="653" bestFit="1" customWidth="1"/>
    <col min="3563" max="3563" width="16" style="653" bestFit="1" customWidth="1"/>
    <col min="3564" max="3564" width="14.6640625" style="653" bestFit="1" customWidth="1"/>
    <col min="3565" max="3806" width="9.33203125" style="653"/>
    <col min="3807" max="3807" width="22.5" style="653" customWidth="1"/>
    <col min="3808" max="3808" width="15.33203125" style="653" customWidth="1"/>
    <col min="3809" max="3809" width="16.5" style="653" customWidth="1"/>
    <col min="3810" max="3810" width="16.6640625" style="653" customWidth="1"/>
    <col min="3811" max="3811" width="38" style="653" customWidth="1"/>
    <col min="3812" max="3812" width="19.83203125" style="653" bestFit="1" customWidth="1"/>
    <col min="3813" max="3813" width="20" style="653" bestFit="1" customWidth="1"/>
    <col min="3814" max="3814" width="21.33203125" style="653" customWidth="1"/>
    <col min="3815" max="3815" width="17" style="653" bestFit="1" customWidth="1"/>
    <col min="3816" max="3816" width="13.1640625" style="653" bestFit="1" customWidth="1"/>
    <col min="3817" max="3817" width="17.83203125" style="653" customWidth="1"/>
    <col min="3818" max="3818" width="18.1640625" style="653" bestFit="1" customWidth="1"/>
    <col min="3819" max="3819" width="16" style="653" bestFit="1" customWidth="1"/>
    <col min="3820" max="3820" width="14.6640625" style="653" bestFit="1" customWidth="1"/>
    <col min="3821" max="4062" width="9.33203125" style="653"/>
    <col min="4063" max="4063" width="22.5" style="653" customWidth="1"/>
    <col min="4064" max="4064" width="15.33203125" style="653" customWidth="1"/>
    <col min="4065" max="4065" width="16.5" style="653" customWidth="1"/>
    <col min="4066" max="4066" width="16.6640625" style="653" customWidth="1"/>
    <col min="4067" max="4067" width="38" style="653" customWidth="1"/>
    <col min="4068" max="4068" width="19.83203125" style="653" bestFit="1" customWidth="1"/>
    <col min="4069" max="4069" width="20" style="653" bestFit="1" customWidth="1"/>
    <col min="4070" max="4070" width="21.33203125" style="653" customWidth="1"/>
    <col min="4071" max="4071" width="17" style="653" bestFit="1" customWidth="1"/>
    <col min="4072" max="4072" width="13.1640625" style="653" bestFit="1" customWidth="1"/>
    <col min="4073" max="4073" width="17.83203125" style="653" customWidth="1"/>
    <col min="4074" max="4074" width="18.1640625" style="653" bestFit="1" customWidth="1"/>
    <col min="4075" max="4075" width="16" style="653" bestFit="1" customWidth="1"/>
    <col min="4076" max="4076" width="14.6640625" style="653" bestFit="1" customWidth="1"/>
    <col min="4077" max="4318" width="9.33203125" style="653"/>
    <col min="4319" max="4319" width="22.5" style="653" customWidth="1"/>
    <col min="4320" max="4320" width="15.33203125" style="653" customWidth="1"/>
    <col min="4321" max="4321" width="16.5" style="653" customWidth="1"/>
    <col min="4322" max="4322" width="16.6640625" style="653" customWidth="1"/>
    <col min="4323" max="4323" width="38" style="653" customWidth="1"/>
    <col min="4324" max="4324" width="19.83203125" style="653" bestFit="1" customWidth="1"/>
    <col min="4325" max="4325" width="20" style="653" bestFit="1" customWidth="1"/>
    <col min="4326" max="4326" width="21.33203125" style="653" customWidth="1"/>
    <col min="4327" max="4327" width="17" style="653" bestFit="1" customWidth="1"/>
    <col min="4328" max="4328" width="13.1640625" style="653" bestFit="1" customWidth="1"/>
    <col min="4329" max="4329" width="17.83203125" style="653" customWidth="1"/>
    <col min="4330" max="4330" width="18.1640625" style="653" bestFit="1" customWidth="1"/>
    <col min="4331" max="4331" width="16" style="653" bestFit="1" customWidth="1"/>
    <col min="4332" max="4332" width="14.6640625" style="653" bestFit="1" customWidth="1"/>
    <col min="4333" max="4574" width="9.33203125" style="653"/>
    <col min="4575" max="4575" width="22.5" style="653" customWidth="1"/>
    <col min="4576" max="4576" width="15.33203125" style="653" customWidth="1"/>
    <col min="4577" max="4577" width="16.5" style="653" customWidth="1"/>
    <col min="4578" max="4578" width="16.6640625" style="653" customWidth="1"/>
    <col min="4579" max="4579" width="38" style="653" customWidth="1"/>
    <col min="4580" max="4580" width="19.83203125" style="653" bestFit="1" customWidth="1"/>
    <col min="4581" max="4581" width="20" style="653" bestFit="1" customWidth="1"/>
    <col min="4582" max="4582" width="21.33203125" style="653" customWidth="1"/>
    <col min="4583" max="4583" width="17" style="653" bestFit="1" customWidth="1"/>
    <col min="4584" max="4584" width="13.1640625" style="653" bestFit="1" customWidth="1"/>
    <col min="4585" max="4585" width="17.83203125" style="653" customWidth="1"/>
    <col min="4586" max="4586" width="18.1640625" style="653" bestFit="1" customWidth="1"/>
    <col min="4587" max="4587" width="16" style="653" bestFit="1" customWidth="1"/>
    <col min="4588" max="4588" width="14.6640625" style="653" bestFit="1" customWidth="1"/>
    <col min="4589" max="4830" width="9.33203125" style="653"/>
    <col min="4831" max="4831" width="22.5" style="653" customWidth="1"/>
    <col min="4832" max="4832" width="15.33203125" style="653" customWidth="1"/>
    <col min="4833" max="4833" width="16.5" style="653" customWidth="1"/>
    <col min="4834" max="4834" width="16.6640625" style="653" customWidth="1"/>
    <col min="4835" max="4835" width="38" style="653" customWidth="1"/>
    <col min="4836" max="4836" width="19.83203125" style="653" bestFit="1" customWidth="1"/>
    <col min="4837" max="4837" width="20" style="653" bestFit="1" customWidth="1"/>
    <col min="4838" max="4838" width="21.33203125" style="653" customWidth="1"/>
    <col min="4839" max="4839" width="17" style="653" bestFit="1" customWidth="1"/>
    <col min="4840" max="4840" width="13.1640625" style="653" bestFit="1" customWidth="1"/>
    <col min="4841" max="4841" width="17.83203125" style="653" customWidth="1"/>
    <col min="4842" max="4842" width="18.1640625" style="653" bestFit="1" customWidth="1"/>
    <col min="4843" max="4843" width="16" style="653" bestFit="1" customWidth="1"/>
    <col min="4844" max="4844" width="14.6640625" style="653" bestFit="1" customWidth="1"/>
    <col min="4845" max="5086" width="9.33203125" style="653"/>
    <col min="5087" max="5087" width="22.5" style="653" customWidth="1"/>
    <col min="5088" max="5088" width="15.33203125" style="653" customWidth="1"/>
    <col min="5089" max="5089" width="16.5" style="653" customWidth="1"/>
    <col min="5090" max="5090" width="16.6640625" style="653" customWidth="1"/>
    <col min="5091" max="5091" width="38" style="653" customWidth="1"/>
    <col min="5092" max="5092" width="19.83203125" style="653" bestFit="1" customWidth="1"/>
    <col min="5093" max="5093" width="20" style="653" bestFit="1" customWidth="1"/>
    <col min="5094" max="5094" width="21.33203125" style="653" customWidth="1"/>
    <col min="5095" max="5095" width="17" style="653" bestFit="1" customWidth="1"/>
    <col min="5096" max="5096" width="13.1640625" style="653" bestFit="1" customWidth="1"/>
    <col min="5097" max="5097" width="17.83203125" style="653" customWidth="1"/>
    <col min="5098" max="5098" width="18.1640625" style="653" bestFit="1" customWidth="1"/>
    <col min="5099" max="5099" width="16" style="653" bestFit="1" customWidth="1"/>
    <col min="5100" max="5100" width="14.6640625" style="653" bestFit="1" customWidth="1"/>
    <col min="5101" max="5342" width="9.33203125" style="653"/>
    <col min="5343" max="5343" width="22.5" style="653" customWidth="1"/>
    <col min="5344" max="5344" width="15.33203125" style="653" customWidth="1"/>
    <col min="5345" max="5345" width="16.5" style="653" customWidth="1"/>
    <col min="5346" max="5346" width="16.6640625" style="653" customWidth="1"/>
    <col min="5347" max="5347" width="38" style="653" customWidth="1"/>
    <col min="5348" max="5348" width="19.83203125" style="653" bestFit="1" customWidth="1"/>
    <col min="5349" max="5349" width="20" style="653" bestFit="1" customWidth="1"/>
    <col min="5350" max="5350" width="21.33203125" style="653" customWidth="1"/>
    <col min="5351" max="5351" width="17" style="653" bestFit="1" customWidth="1"/>
    <col min="5352" max="5352" width="13.1640625" style="653" bestFit="1" customWidth="1"/>
    <col min="5353" max="5353" width="17.83203125" style="653" customWidth="1"/>
    <col min="5354" max="5354" width="18.1640625" style="653" bestFit="1" customWidth="1"/>
    <col min="5355" max="5355" width="16" style="653" bestFit="1" customWidth="1"/>
    <col min="5356" max="5356" width="14.6640625" style="653" bestFit="1" customWidth="1"/>
    <col min="5357" max="5598" width="9.33203125" style="653"/>
    <col min="5599" max="5599" width="22.5" style="653" customWidth="1"/>
    <col min="5600" max="5600" width="15.33203125" style="653" customWidth="1"/>
    <col min="5601" max="5601" width="16.5" style="653" customWidth="1"/>
    <col min="5602" max="5602" width="16.6640625" style="653" customWidth="1"/>
    <col min="5603" max="5603" width="38" style="653" customWidth="1"/>
    <col min="5604" max="5604" width="19.83203125" style="653" bestFit="1" customWidth="1"/>
    <col min="5605" max="5605" width="20" style="653" bestFit="1" customWidth="1"/>
    <col min="5606" max="5606" width="21.33203125" style="653" customWidth="1"/>
    <col min="5607" max="5607" width="17" style="653" bestFit="1" customWidth="1"/>
    <col min="5608" max="5608" width="13.1640625" style="653" bestFit="1" customWidth="1"/>
    <col min="5609" max="5609" width="17.83203125" style="653" customWidth="1"/>
    <col min="5610" max="5610" width="18.1640625" style="653" bestFit="1" customWidth="1"/>
    <col min="5611" max="5611" width="16" style="653" bestFit="1" customWidth="1"/>
    <col min="5612" max="5612" width="14.6640625" style="653" bestFit="1" customWidth="1"/>
    <col min="5613" max="5854" width="9.33203125" style="653"/>
    <col min="5855" max="5855" width="22.5" style="653" customWidth="1"/>
    <col min="5856" max="5856" width="15.33203125" style="653" customWidth="1"/>
    <col min="5857" max="5857" width="16.5" style="653" customWidth="1"/>
    <col min="5858" max="5858" width="16.6640625" style="653" customWidth="1"/>
    <col min="5859" max="5859" width="38" style="653" customWidth="1"/>
    <col min="5860" max="5860" width="19.83203125" style="653" bestFit="1" customWidth="1"/>
    <col min="5861" max="5861" width="20" style="653" bestFit="1" customWidth="1"/>
    <col min="5862" max="5862" width="21.33203125" style="653" customWidth="1"/>
    <col min="5863" max="5863" width="17" style="653" bestFit="1" customWidth="1"/>
    <col min="5864" max="5864" width="13.1640625" style="653" bestFit="1" customWidth="1"/>
    <col min="5865" max="5865" width="17.83203125" style="653" customWidth="1"/>
    <col min="5866" max="5866" width="18.1640625" style="653" bestFit="1" customWidth="1"/>
    <col min="5867" max="5867" width="16" style="653" bestFit="1" customWidth="1"/>
    <col min="5868" max="5868" width="14.6640625" style="653" bestFit="1" customWidth="1"/>
    <col min="5869" max="6110" width="9.33203125" style="653"/>
    <col min="6111" max="6111" width="22.5" style="653" customWidth="1"/>
    <col min="6112" max="6112" width="15.33203125" style="653" customWidth="1"/>
    <col min="6113" max="6113" width="16.5" style="653" customWidth="1"/>
    <col min="6114" max="6114" width="16.6640625" style="653" customWidth="1"/>
    <col min="6115" max="6115" width="38" style="653" customWidth="1"/>
    <col min="6116" max="6116" width="19.83203125" style="653" bestFit="1" customWidth="1"/>
    <col min="6117" max="6117" width="20" style="653" bestFit="1" customWidth="1"/>
    <col min="6118" max="6118" width="21.33203125" style="653" customWidth="1"/>
    <col min="6119" max="6119" width="17" style="653" bestFit="1" customWidth="1"/>
    <col min="6120" max="6120" width="13.1640625" style="653" bestFit="1" customWidth="1"/>
    <col min="6121" max="6121" width="17.83203125" style="653" customWidth="1"/>
    <col min="6122" max="6122" width="18.1640625" style="653" bestFit="1" customWidth="1"/>
    <col min="6123" max="6123" width="16" style="653" bestFit="1" customWidth="1"/>
    <col min="6124" max="6124" width="14.6640625" style="653" bestFit="1" customWidth="1"/>
    <col min="6125" max="6366" width="9.33203125" style="653"/>
    <col min="6367" max="6367" width="22.5" style="653" customWidth="1"/>
    <col min="6368" max="6368" width="15.33203125" style="653" customWidth="1"/>
    <col min="6369" max="6369" width="16.5" style="653" customWidth="1"/>
    <col min="6370" max="6370" width="16.6640625" style="653" customWidth="1"/>
    <col min="6371" max="6371" width="38" style="653" customWidth="1"/>
    <col min="6372" max="6372" width="19.83203125" style="653" bestFit="1" customWidth="1"/>
    <col min="6373" max="6373" width="20" style="653" bestFit="1" customWidth="1"/>
    <col min="6374" max="6374" width="21.33203125" style="653" customWidth="1"/>
    <col min="6375" max="6375" width="17" style="653" bestFit="1" customWidth="1"/>
    <col min="6376" max="6376" width="13.1640625" style="653" bestFit="1" customWidth="1"/>
    <col min="6377" max="6377" width="17.83203125" style="653" customWidth="1"/>
    <col min="6378" max="6378" width="18.1640625" style="653" bestFit="1" customWidth="1"/>
    <col min="6379" max="6379" width="16" style="653" bestFit="1" customWidth="1"/>
    <col min="6380" max="6380" width="14.6640625" style="653" bestFit="1" customWidth="1"/>
    <col min="6381" max="6622" width="9.33203125" style="653"/>
    <col min="6623" max="6623" width="22.5" style="653" customWidth="1"/>
    <col min="6624" max="6624" width="15.33203125" style="653" customWidth="1"/>
    <col min="6625" max="6625" width="16.5" style="653" customWidth="1"/>
    <col min="6626" max="6626" width="16.6640625" style="653" customWidth="1"/>
    <col min="6627" max="6627" width="38" style="653" customWidth="1"/>
    <col min="6628" max="6628" width="19.83203125" style="653" bestFit="1" customWidth="1"/>
    <col min="6629" max="6629" width="20" style="653" bestFit="1" customWidth="1"/>
    <col min="6630" max="6630" width="21.33203125" style="653" customWidth="1"/>
    <col min="6631" max="6631" width="17" style="653" bestFit="1" customWidth="1"/>
    <col min="6632" max="6632" width="13.1640625" style="653" bestFit="1" customWidth="1"/>
    <col min="6633" max="6633" width="17.83203125" style="653" customWidth="1"/>
    <col min="6634" max="6634" width="18.1640625" style="653" bestFit="1" customWidth="1"/>
    <col min="6635" max="6635" width="16" style="653" bestFit="1" customWidth="1"/>
    <col min="6636" max="6636" width="14.6640625" style="653" bestFit="1" customWidth="1"/>
    <col min="6637" max="6878" width="9.33203125" style="653"/>
    <col min="6879" max="6879" width="22.5" style="653" customWidth="1"/>
    <col min="6880" max="6880" width="15.33203125" style="653" customWidth="1"/>
    <col min="6881" max="6881" width="16.5" style="653" customWidth="1"/>
    <col min="6882" max="6882" width="16.6640625" style="653" customWidth="1"/>
    <col min="6883" max="6883" width="38" style="653" customWidth="1"/>
    <col min="6884" max="6884" width="19.83203125" style="653" bestFit="1" customWidth="1"/>
    <col min="6885" max="6885" width="20" style="653" bestFit="1" customWidth="1"/>
    <col min="6886" max="6886" width="21.33203125" style="653" customWidth="1"/>
    <col min="6887" max="6887" width="17" style="653" bestFit="1" customWidth="1"/>
    <col min="6888" max="6888" width="13.1640625" style="653" bestFit="1" customWidth="1"/>
    <col min="6889" max="6889" width="17.83203125" style="653" customWidth="1"/>
    <col min="6890" max="6890" width="18.1640625" style="653" bestFit="1" customWidth="1"/>
    <col min="6891" max="6891" width="16" style="653" bestFit="1" customWidth="1"/>
    <col min="6892" max="6892" width="14.6640625" style="653" bestFit="1" customWidth="1"/>
    <col min="6893" max="7134" width="9.33203125" style="653"/>
    <col min="7135" max="7135" width="22.5" style="653" customWidth="1"/>
    <col min="7136" max="7136" width="15.33203125" style="653" customWidth="1"/>
    <col min="7137" max="7137" width="16.5" style="653" customWidth="1"/>
    <col min="7138" max="7138" width="16.6640625" style="653" customWidth="1"/>
    <col min="7139" max="7139" width="38" style="653" customWidth="1"/>
    <col min="7140" max="7140" width="19.83203125" style="653" bestFit="1" customWidth="1"/>
    <col min="7141" max="7141" width="20" style="653" bestFit="1" customWidth="1"/>
    <col min="7142" max="7142" width="21.33203125" style="653" customWidth="1"/>
    <col min="7143" max="7143" width="17" style="653" bestFit="1" customWidth="1"/>
    <col min="7144" max="7144" width="13.1640625" style="653" bestFit="1" customWidth="1"/>
    <col min="7145" max="7145" width="17.83203125" style="653" customWidth="1"/>
    <col min="7146" max="7146" width="18.1640625" style="653" bestFit="1" customWidth="1"/>
    <col min="7147" max="7147" width="16" style="653" bestFit="1" customWidth="1"/>
    <col min="7148" max="7148" width="14.6640625" style="653" bestFit="1" customWidth="1"/>
    <col min="7149" max="7390" width="9.33203125" style="653"/>
    <col min="7391" max="7391" width="22.5" style="653" customWidth="1"/>
    <col min="7392" max="7392" width="15.33203125" style="653" customWidth="1"/>
    <col min="7393" max="7393" width="16.5" style="653" customWidth="1"/>
    <col min="7394" max="7394" width="16.6640625" style="653" customWidth="1"/>
    <col min="7395" max="7395" width="38" style="653" customWidth="1"/>
    <col min="7396" max="7396" width="19.83203125" style="653" bestFit="1" customWidth="1"/>
    <col min="7397" max="7397" width="20" style="653" bestFit="1" customWidth="1"/>
    <col min="7398" max="7398" width="21.33203125" style="653" customWidth="1"/>
    <col min="7399" max="7399" width="17" style="653" bestFit="1" customWidth="1"/>
    <col min="7400" max="7400" width="13.1640625" style="653" bestFit="1" customWidth="1"/>
    <col min="7401" max="7401" width="17.83203125" style="653" customWidth="1"/>
    <col min="7402" max="7402" width="18.1640625" style="653" bestFit="1" customWidth="1"/>
    <col min="7403" max="7403" width="16" style="653" bestFit="1" customWidth="1"/>
    <col min="7404" max="7404" width="14.6640625" style="653" bestFit="1" customWidth="1"/>
    <col min="7405" max="7646" width="9.33203125" style="653"/>
    <col min="7647" max="7647" width="22.5" style="653" customWidth="1"/>
    <col min="7648" max="7648" width="15.33203125" style="653" customWidth="1"/>
    <col min="7649" max="7649" width="16.5" style="653" customWidth="1"/>
    <col min="7650" max="7650" width="16.6640625" style="653" customWidth="1"/>
    <col min="7651" max="7651" width="38" style="653" customWidth="1"/>
    <col min="7652" max="7652" width="19.83203125" style="653" bestFit="1" customWidth="1"/>
    <col min="7653" max="7653" width="20" style="653" bestFit="1" customWidth="1"/>
    <col min="7654" max="7654" width="21.33203125" style="653" customWidth="1"/>
    <col min="7655" max="7655" width="17" style="653" bestFit="1" customWidth="1"/>
    <col min="7656" max="7656" width="13.1640625" style="653" bestFit="1" customWidth="1"/>
    <col min="7657" max="7657" width="17.83203125" style="653" customWidth="1"/>
    <col min="7658" max="7658" width="18.1640625" style="653" bestFit="1" customWidth="1"/>
    <col min="7659" max="7659" width="16" style="653" bestFit="1" customWidth="1"/>
    <col min="7660" max="7660" width="14.6640625" style="653" bestFit="1" customWidth="1"/>
    <col min="7661" max="7902" width="9.33203125" style="653"/>
    <col min="7903" max="7903" width="22.5" style="653" customWidth="1"/>
    <col min="7904" max="7904" width="15.33203125" style="653" customWidth="1"/>
    <col min="7905" max="7905" width="16.5" style="653" customWidth="1"/>
    <col min="7906" max="7906" width="16.6640625" style="653" customWidth="1"/>
    <col min="7907" max="7907" width="38" style="653" customWidth="1"/>
    <col min="7908" max="7908" width="19.83203125" style="653" bestFit="1" customWidth="1"/>
    <col min="7909" max="7909" width="20" style="653" bestFit="1" customWidth="1"/>
    <col min="7910" max="7910" width="21.33203125" style="653" customWidth="1"/>
    <col min="7911" max="7911" width="17" style="653" bestFit="1" customWidth="1"/>
    <col min="7912" max="7912" width="13.1640625" style="653" bestFit="1" customWidth="1"/>
    <col min="7913" max="7913" width="17.83203125" style="653" customWidth="1"/>
    <col min="7914" max="7914" width="18.1640625" style="653" bestFit="1" customWidth="1"/>
    <col min="7915" max="7915" width="16" style="653" bestFit="1" customWidth="1"/>
    <col min="7916" max="7916" width="14.6640625" style="653" bestFit="1" customWidth="1"/>
    <col min="7917" max="8158" width="9.33203125" style="653"/>
    <col min="8159" max="8159" width="22.5" style="653" customWidth="1"/>
    <col min="8160" max="8160" width="15.33203125" style="653" customWidth="1"/>
    <col min="8161" max="8161" width="16.5" style="653" customWidth="1"/>
    <col min="8162" max="8162" width="16.6640625" style="653" customWidth="1"/>
    <col min="8163" max="8163" width="38" style="653" customWidth="1"/>
    <col min="8164" max="8164" width="19.83203125" style="653" bestFit="1" customWidth="1"/>
    <col min="8165" max="8165" width="20" style="653" bestFit="1" customWidth="1"/>
    <col min="8166" max="8166" width="21.33203125" style="653" customWidth="1"/>
    <col min="8167" max="8167" width="17" style="653" bestFit="1" customWidth="1"/>
    <col min="8168" max="8168" width="13.1640625" style="653" bestFit="1" customWidth="1"/>
    <col min="8169" max="8169" width="17.83203125" style="653" customWidth="1"/>
    <col min="8170" max="8170" width="18.1640625" style="653" bestFit="1" customWidth="1"/>
    <col min="8171" max="8171" width="16" style="653" bestFit="1" customWidth="1"/>
    <col min="8172" max="8172" width="14.6640625" style="653" bestFit="1" customWidth="1"/>
    <col min="8173" max="8414" width="9.33203125" style="653"/>
    <col min="8415" max="8415" width="22.5" style="653" customWidth="1"/>
    <col min="8416" max="8416" width="15.33203125" style="653" customWidth="1"/>
    <col min="8417" max="8417" width="16.5" style="653" customWidth="1"/>
    <col min="8418" max="8418" width="16.6640625" style="653" customWidth="1"/>
    <col min="8419" max="8419" width="38" style="653" customWidth="1"/>
    <col min="8420" max="8420" width="19.83203125" style="653" bestFit="1" customWidth="1"/>
    <col min="8421" max="8421" width="20" style="653" bestFit="1" customWidth="1"/>
    <col min="8422" max="8422" width="21.33203125" style="653" customWidth="1"/>
    <col min="8423" max="8423" width="17" style="653" bestFit="1" customWidth="1"/>
    <col min="8424" max="8424" width="13.1640625" style="653" bestFit="1" customWidth="1"/>
    <col min="8425" max="8425" width="17.83203125" style="653" customWidth="1"/>
    <col min="8426" max="8426" width="18.1640625" style="653" bestFit="1" customWidth="1"/>
    <col min="8427" max="8427" width="16" style="653" bestFit="1" customWidth="1"/>
    <col min="8428" max="8428" width="14.6640625" style="653" bestFit="1" customWidth="1"/>
    <col min="8429" max="8670" width="9.33203125" style="653"/>
    <col min="8671" max="8671" width="22.5" style="653" customWidth="1"/>
    <col min="8672" max="8672" width="15.33203125" style="653" customWidth="1"/>
    <col min="8673" max="8673" width="16.5" style="653" customWidth="1"/>
    <col min="8674" max="8674" width="16.6640625" style="653" customWidth="1"/>
    <col min="8675" max="8675" width="38" style="653" customWidth="1"/>
    <col min="8676" max="8676" width="19.83203125" style="653" bestFit="1" customWidth="1"/>
    <col min="8677" max="8677" width="20" style="653" bestFit="1" customWidth="1"/>
    <col min="8678" max="8678" width="21.33203125" style="653" customWidth="1"/>
    <col min="8679" max="8679" width="17" style="653" bestFit="1" customWidth="1"/>
    <col min="8680" max="8680" width="13.1640625" style="653" bestFit="1" customWidth="1"/>
    <col min="8681" max="8681" width="17.83203125" style="653" customWidth="1"/>
    <col min="8682" max="8682" width="18.1640625" style="653" bestFit="1" customWidth="1"/>
    <col min="8683" max="8683" width="16" style="653" bestFit="1" customWidth="1"/>
    <col min="8684" max="8684" width="14.6640625" style="653" bestFit="1" customWidth="1"/>
    <col min="8685" max="8926" width="9.33203125" style="653"/>
    <col min="8927" max="8927" width="22.5" style="653" customWidth="1"/>
    <col min="8928" max="8928" width="15.33203125" style="653" customWidth="1"/>
    <col min="8929" max="8929" width="16.5" style="653" customWidth="1"/>
    <col min="8930" max="8930" width="16.6640625" style="653" customWidth="1"/>
    <col min="8931" max="8931" width="38" style="653" customWidth="1"/>
    <col min="8932" max="8932" width="19.83203125" style="653" bestFit="1" customWidth="1"/>
    <col min="8933" max="8933" width="20" style="653" bestFit="1" customWidth="1"/>
    <col min="8934" max="8934" width="21.33203125" style="653" customWidth="1"/>
    <col min="8935" max="8935" width="17" style="653" bestFit="1" customWidth="1"/>
    <col min="8936" max="8936" width="13.1640625" style="653" bestFit="1" customWidth="1"/>
    <col min="8937" max="8937" width="17.83203125" style="653" customWidth="1"/>
    <col min="8938" max="8938" width="18.1640625" style="653" bestFit="1" customWidth="1"/>
    <col min="8939" max="8939" width="16" style="653" bestFit="1" customWidth="1"/>
    <col min="8940" max="8940" width="14.6640625" style="653" bestFit="1" customWidth="1"/>
    <col min="8941" max="9182" width="9.33203125" style="653"/>
    <col min="9183" max="9183" width="22.5" style="653" customWidth="1"/>
    <col min="9184" max="9184" width="15.33203125" style="653" customWidth="1"/>
    <col min="9185" max="9185" width="16.5" style="653" customWidth="1"/>
    <col min="9186" max="9186" width="16.6640625" style="653" customWidth="1"/>
    <col min="9187" max="9187" width="38" style="653" customWidth="1"/>
    <col min="9188" max="9188" width="19.83203125" style="653" bestFit="1" customWidth="1"/>
    <col min="9189" max="9189" width="20" style="653" bestFit="1" customWidth="1"/>
    <col min="9190" max="9190" width="21.33203125" style="653" customWidth="1"/>
    <col min="9191" max="9191" width="17" style="653" bestFit="1" customWidth="1"/>
    <col min="9192" max="9192" width="13.1640625" style="653" bestFit="1" customWidth="1"/>
    <col min="9193" max="9193" width="17.83203125" style="653" customWidth="1"/>
    <col min="9194" max="9194" width="18.1640625" style="653" bestFit="1" customWidth="1"/>
    <col min="9195" max="9195" width="16" style="653" bestFit="1" customWidth="1"/>
    <col min="9196" max="9196" width="14.6640625" style="653" bestFit="1" customWidth="1"/>
    <col min="9197" max="9438" width="9.33203125" style="653"/>
    <col min="9439" max="9439" width="22.5" style="653" customWidth="1"/>
    <col min="9440" max="9440" width="15.33203125" style="653" customWidth="1"/>
    <col min="9441" max="9441" width="16.5" style="653" customWidth="1"/>
    <col min="9442" max="9442" width="16.6640625" style="653" customWidth="1"/>
    <col min="9443" max="9443" width="38" style="653" customWidth="1"/>
    <col min="9444" max="9444" width="19.83203125" style="653" bestFit="1" customWidth="1"/>
    <col min="9445" max="9445" width="20" style="653" bestFit="1" customWidth="1"/>
    <col min="9446" max="9446" width="21.33203125" style="653" customWidth="1"/>
    <col min="9447" max="9447" width="17" style="653" bestFit="1" customWidth="1"/>
    <col min="9448" max="9448" width="13.1640625" style="653" bestFit="1" customWidth="1"/>
    <col min="9449" max="9449" width="17.83203125" style="653" customWidth="1"/>
    <col min="9450" max="9450" width="18.1640625" style="653" bestFit="1" customWidth="1"/>
    <col min="9451" max="9451" width="16" style="653" bestFit="1" customWidth="1"/>
    <col min="9452" max="9452" width="14.6640625" style="653" bestFit="1" customWidth="1"/>
    <col min="9453" max="9694" width="9.33203125" style="653"/>
    <col min="9695" max="9695" width="22.5" style="653" customWidth="1"/>
    <col min="9696" max="9696" width="15.33203125" style="653" customWidth="1"/>
    <col min="9697" max="9697" width="16.5" style="653" customWidth="1"/>
    <col min="9698" max="9698" width="16.6640625" style="653" customWidth="1"/>
    <col min="9699" max="9699" width="38" style="653" customWidth="1"/>
    <col min="9700" max="9700" width="19.83203125" style="653" bestFit="1" customWidth="1"/>
    <col min="9701" max="9701" width="20" style="653" bestFit="1" customWidth="1"/>
    <col min="9702" max="9702" width="21.33203125" style="653" customWidth="1"/>
    <col min="9703" max="9703" width="17" style="653" bestFit="1" customWidth="1"/>
    <col min="9704" max="9704" width="13.1640625" style="653" bestFit="1" customWidth="1"/>
    <col min="9705" max="9705" width="17.83203125" style="653" customWidth="1"/>
    <col min="9706" max="9706" width="18.1640625" style="653" bestFit="1" customWidth="1"/>
    <col min="9707" max="9707" width="16" style="653" bestFit="1" customWidth="1"/>
    <col min="9708" max="9708" width="14.6640625" style="653" bestFit="1" customWidth="1"/>
    <col min="9709" max="9950" width="9.33203125" style="653"/>
    <col min="9951" max="9951" width="22.5" style="653" customWidth="1"/>
    <col min="9952" max="9952" width="15.33203125" style="653" customWidth="1"/>
    <col min="9953" max="9953" width="16.5" style="653" customWidth="1"/>
    <col min="9954" max="9954" width="16.6640625" style="653" customWidth="1"/>
    <col min="9955" max="9955" width="38" style="653" customWidth="1"/>
    <col min="9956" max="9956" width="19.83203125" style="653" bestFit="1" customWidth="1"/>
    <col min="9957" max="9957" width="20" style="653" bestFit="1" customWidth="1"/>
    <col min="9958" max="9958" width="21.33203125" style="653" customWidth="1"/>
    <col min="9959" max="9959" width="17" style="653" bestFit="1" customWidth="1"/>
    <col min="9960" max="9960" width="13.1640625" style="653" bestFit="1" customWidth="1"/>
    <col min="9961" max="9961" width="17.83203125" style="653" customWidth="1"/>
    <col min="9962" max="9962" width="18.1640625" style="653" bestFit="1" customWidth="1"/>
    <col min="9963" max="9963" width="16" style="653" bestFit="1" customWidth="1"/>
    <col min="9964" max="9964" width="14.6640625" style="653" bestFit="1" customWidth="1"/>
    <col min="9965" max="10206" width="9.33203125" style="653"/>
    <col min="10207" max="10207" width="22.5" style="653" customWidth="1"/>
    <col min="10208" max="10208" width="15.33203125" style="653" customWidth="1"/>
    <col min="10209" max="10209" width="16.5" style="653" customWidth="1"/>
    <col min="10210" max="10210" width="16.6640625" style="653" customWidth="1"/>
    <col min="10211" max="10211" width="38" style="653" customWidth="1"/>
    <col min="10212" max="10212" width="19.83203125" style="653" bestFit="1" customWidth="1"/>
    <col min="10213" max="10213" width="20" style="653" bestFit="1" customWidth="1"/>
    <col min="10214" max="10214" width="21.33203125" style="653" customWidth="1"/>
    <col min="10215" max="10215" width="17" style="653" bestFit="1" customWidth="1"/>
    <col min="10216" max="10216" width="13.1640625" style="653" bestFit="1" customWidth="1"/>
    <col min="10217" max="10217" width="17.83203125" style="653" customWidth="1"/>
    <col min="10218" max="10218" width="18.1640625" style="653" bestFit="1" customWidth="1"/>
    <col min="10219" max="10219" width="16" style="653" bestFit="1" customWidth="1"/>
    <col min="10220" max="10220" width="14.6640625" style="653" bestFit="1" customWidth="1"/>
    <col min="10221" max="10462" width="9.33203125" style="653"/>
    <col min="10463" max="10463" width="22.5" style="653" customWidth="1"/>
    <col min="10464" max="10464" width="15.33203125" style="653" customWidth="1"/>
    <col min="10465" max="10465" width="16.5" style="653" customWidth="1"/>
    <col min="10466" max="10466" width="16.6640625" style="653" customWidth="1"/>
    <col min="10467" max="10467" width="38" style="653" customWidth="1"/>
    <col min="10468" max="10468" width="19.83203125" style="653" bestFit="1" customWidth="1"/>
    <col min="10469" max="10469" width="20" style="653" bestFit="1" customWidth="1"/>
    <col min="10470" max="10470" width="21.33203125" style="653" customWidth="1"/>
    <col min="10471" max="10471" width="17" style="653" bestFit="1" customWidth="1"/>
    <col min="10472" max="10472" width="13.1640625" style="653" bestFit="1" customWidth="1"/>
    <col min="10473" max="10473" width="17.83203125" style="653" customWidth="1"/>
    <col min="10474" max="10474" width="18.1640625" style="653" bestFit="1" customWidth="1"/>
    <col min="10475" max="10475" width="16" style="653" bestFit="1" customWidth="1"/>
    <col min="10476" max="10476" width="14.6640625" style="653" bestFit="1" customWidth="1"/>
    <col min="10477" max="10718" width="9.33203125" style="653"/>
    <col min="10719" max="10719" width="22.5" style="653" customWidth="1"/>
    <col min="10720" max="10720" width="15.33203125" style="653" customWidth="1"/>
    <col min="10721" max="10721" width="16.5" style="653" customWidth="1"/>
    <col min="10722" max="10722" width="16.6640625" style="653" customWidth="1"/>
    <col min="10723" max="10723" width="38" style="653" customWidth="1"/>
    <col min="10724" max="10724" width="19.83203125" style="653" bestFit="1" customWidth="1"/>
    <col min="10725" max="10725" width="20" style="653" bestFit="1" customWidth="1"/>
    <col min="10726" max="10726" width="21.33203125" style="653" customWidth="1"/>
    <col min="10727" max="10727" width="17" style="653" bestFit="1" customWidth="1"/>
    <col min="10728" max="10728" width="13.1640625" style="653" bestFit="1" customWidth="1"/>
    <col min="10729" max="10729" width="17.83203125" style="653" customWidth="1"/>
    <col min="10730" max="10730" width="18.1640625" style="653" bestFit="1" customWidth="1"/>
    <col min="10731" max="10731" width="16" style="653" bestFit="1" customWidth="1"/>
    <col min="10732" max="10732" width="14.6640625" style="653" bestFit="1" customWidth="1"/>
    <col min="10733" max="10974" width="9.33203125" style="653"/>
    <col min="10975" max="10975" width="22.5" style="653" customWidth="1"/>
    <col min="10976" max="10976" width="15.33203125" style="653" customWidth="1"/>
    <col min="10977" max="10977" width="16.5" style="653" customWidth="1"/>
    <col min="10978" max="10978" width="16.6640625" style="653" customWidth="1"/>
    <col min="10979" max="10979" width="38" style="653" customWidth="1"/>
    <col min="10980" max="10980" width="19.83203125" style="653" bestFit="1" customWidth="1"/>
    <col min="10981" max="10981" width="20" style="653" bestFit="1" customWidth="1"/>
    <col min="10982" max="10982" width="21.33203125" style="653" customWidth="1"/>
    <col min="10983" max="10983" width="17" style="653" bestFit="1" customWidth="1"/>
    <col min="10984" max="10984" width="13.1640625" style="653" bestFit="1" customWidth="1"/>
    <col min="10985" max="10985" width="17.83203125" style="653" customWidth="1"/>
    <col min="10986" max="10986" width="18.1640625" style="653" bestFit="1" customWidth="1"/>
    <col min="10987" max="10987" width="16" style="653" bestFit="1" customWidth="1"/>
    <col min="10988" max="10988" width="14.6640625" style="653" bestFit="1" customWidth="1"/>
    <col min="10989" max="11230" width="9.33203125" style="653"/>
    <col min="11231" max="11231" width="22.5" style="653" customWidth="1"/>
    <col min="11232" max="11232" width="15.33203125" style="653" customWidth="1"/>
    <col min="11233" max="11233" width="16.5" style="653" customWidth="1"/>
    <col min="11234" max="11234" width="16.6640625" style="653" customWidth="1"/>
    <col min="11235" max="11235" width="38" style="653" customWidth="1"/>
    <col min="11236" max="11236" width="19.83203125" style="653" bestFit="1" customWidth="1"/>
    <col min="11237" max="11237" width="20" style="653" bestFit="1" customWidth="1"/>
    <col min="11238" max="11238" width="21.33203125" style="653" customWidth="1"/>
    <col min="11239" max="11239" width="17" style="653" bestFit="1" customWidth="1"/>
    <col min="11240" max="11240" width="13.1640625" style="653" bestFit="1" customWidth="1"/>
    <col min="11241" max="11241" width="17.83203125" style="653" customWidth="1"/>
    <col min="11242" max="11242" width="18.1640625" style="653" bestFit="1" customWidth="1"/>
    <col min="11243" max="11243" width="16" style="653" bestFit="1" customWidth="1"/>
    <col min="11244" max="11244" width="14.6640625" style="653" bestFit="1" customWidth="1"/>
    <col min="11245" max="11486" width="9.33203125" style="653"/>
    <col min="11487" max="11487" width="22.5" style="653" customWidth="1"/>
    <col min="11488" max="11488" width="15.33203125" style="653" customWidth="1"/>
    <col min="11489" max="11489" width="16.5" style="653" customWidth="1"/>
    <col min="11490" max="11490" width="16.6640625" style="653" customWidth="1"/>
    <col min="11491" max="11491" width="38" style="653" customWidth="1"/>
    <col min="11492" max="11492" width="19.83203125" style="653" bestFit="1" customWidth="1"/>
    <col min="11493" max="11493" width="20" style="653" bestFit="1" customWidth="1"/>
    <col min="11494" max="11494" width="21.33203125" style="653" customWidth="1"/>
    <col min="11495" max="11495" width="17" style="653" bestFit="1" customWidth="1"/>
    <col min="11496" max="11496" width="13.1640625" style="653" bestFit="1" customWidth="1"/>
    <col min="11497" max="11497" width="17.83203125" style="653" customWidth="1"/>
    <col min="11498" max="11498" width="18.1640625" style="653" bestFit="1" customWidth="1"/>
    <col min="11499" max="11499" width="16" style="653" bestFit="1" customWidth="1"/>
    <col min="11500" max="11500" width="14.6640625" style="653" bestFit="1" customWidth="1"/>
    <col min="11501" max="11742" width="9.33203125" style="653"/>
    <col min="11743" max="11743" width="22.5" style="653" customWidth="1"/>
    <col min="11744" max="11744" width="15.33203125" style="653" customWidth="1"/>
    <col min="11745" max="11745" width="16.5" style="653" customWidth="1"/>
    <col min="11746" max="11746" width="16.6640625" style="653" customWidth="1"/>
    <col min="11747" max="11747" width="38" style="653" customWidth="1"/>
    <col min="11748" max="11748" width="19.83203125" style="653" bestFit="1" customWidth="1"/>
    <col min="11749" max="11749" width="20" style="653" bestFit="1" customWidth="1"/>
    <col min="11750" max="11750" width="21.33203125" style="653" customWidth="1"/>
    <col min="11751" max="11751" width="17" style="653" bestFit="1" customWidth="1"/>
    <col min="11752" max="11752" width="13.1640625" style="653" bestFit="1" customWidth="1"/>
    <col min="11753" max="11753" width="17.83203125" style="653" customWidth="1"/>
    <col min="11754" max="11754" width="18.1640625" style="653" bestFit="1" customWidth="1"/>
    <col min="11755" max="11755" width="16" style="653" bestFit="1" customWidth="1"/>
    <col min="11756" max="11756" width="14.6640625" style="653" bestFit="1" customWidth="1"/>
    <col min="11757" max="11998" width="9.33203125" style="653"/>
    <col min="11999" max="11999" width="22.5" style="653" customWidth="1"/>
    <col min="12000" max="12000" width="15.33203125" style="653" customWidth="1"/>
    <col min="12001" max="12001" width="16.5" style="653" customWidth="1"/>
    <col min="12002" max="12002" width="16.6640625" style="653" customWidth="1"/>
    <col min="12003" max="12003" width="38" style="653" customWidth="1"/>
    <col min="12004" max="12004" width="19.83203125" style="653" bestFit="1" customWidth="1"/>
    <col min="12005" max="12005" width="20" style="653" bestFit="1" customWidth="1"/>
    <col min="12006" max="12006" width="21.33203125" style="653" customWidth="1"/>
    <col min="12007" max="12007" width="17" style="653" bestFit="1" customWidth="1"/>
    <col min="12008" max="12008" width="13.1640625" style="653" bestFit="1" customWidth="1"/>
    <col min="12009" max="12009" width="17.83203125" style="653" customWidth="1"/>
    <col min="12010" max="12010" width="18.1640625" style="653" bestFit="1" customWidth="1"/>
    <col min="12011" max="12011" width="16" style="653" bestFit="1" customWidth="1"/>
    <col min="12012" max="12012" width="14.6640625" style="653" bestFit="1" customWidth="1"/>
    <col min="12013" max="12254" width="9.33203125" style="653"/>
    <col min="12255" max="12255" width="22.5" style="653" customWidth="1"/>
    <col min="12256" max="12256" width="15.33203125" style="653" customWidth="1"/>
    <col min="12257" max="12257" width="16.5" style="653" customWidth="1"/>
    <col min="12258" max="12258" width="16.6640625" style="653" customWidth="1"/>
    <col min="12259" max="12259" width="38" style="653" customWidth="1"/>
    <col min="12260" max="12260" width="19.83203125" style="653" bestFit="1" customWidth="1"/>
    <col min="12261" max="12261" width="20" style="653" bestFit="1" customWidth="1"/>
    <col min="12262" max="12262" width="21.33203125" style="653" customWidth="1"/>
    <col min="12263" max="12263" width="17" style="653" bestFit="1" customWidth="1"/>
    <col min="12264" max="12264" width="13.1640625" style="653" bestFit="1" customWidth="1"/>
    <col min="12265" max="12265" width="17.83203125" style="653" customWidth="1"/>
    <col min="12266" max="12266" width="18.1640625" style="653" bestFit="1" customWidth="1"/>
    <col min="12267" max="12267" width="16" style="653" bestFit="1" customWidth="1"/>
    <col min="12268" max="12268" width="14.6640625" style="653" bestFit="1" customWidth="1"/>
    <col min="12269" max="12510" width="9.33203125" style="653"/>
    <col min="12511" max="12511" width="22.5" style="653" customWidth="1"/>
    <col min="12512" max="12512" width="15.33203125" style="653" customWidth="1"/>
    <col min="12513" max="12513" width="16.5" style="653" customWidth="1"/>
    <col min="12514" max="12514" width="16.6640625" style="653" customWidth="1"/>
    <col min="12515" max="12515" width="38" style="653" customWidth="1"/>
    <col min="12516" max="12516" width="19.83203125" style="653" bestFit="1" customWidth="1"/>
    <col min="12517" max="12517" width="20" style="653" bestFit="1" customWidth="1"/>
    <col min="12518" max="12518" width="21.33203125" style="653" customWidth="1"/>
    <col min="12519" max="12519" width="17" style="653" bestFit="1" customWidth="1"/>
    <col min="12520" max="12520" width="13.1640625" style="653" bestFit="1" customWidth="1"/>
    <col min="12521" max="12521" width="17.83203125" style="653" customWidth="1"/>
    <col min="12522" max="12522" width="18.1640625" style="653" bestFit="1" customWidth="1"/>
    <col min="12523" max="12523" width="16" style="653" bestFit="1" customWidth="1"/>
    <col min="12524" max="12524" width="14.6640625" style="653" bestFit="1" customWidth="1"/>
    <col min="12525" max="12766" width="9.33203125" style="653"/>
    <col min="12767" max="12767" width="22.5" style="653" customWidth="1"/>
    <col min="12768" max="12768" width="15.33203125" style="653" customWidth="1"/>
    <col min="12769" max="12769" width="16.5" style="653" customWidth="1"/>
    <col min="12770" max="12770" width="16.6640625" style="653" customWidth="1"/>
    <col min="12771" max="12771" width="38" style="653" customWidth="1"/>
    <col min="12772" max="12772" width="19.83203125" style="653" bestFit="1" customWidth="1"/>
    <col min="12773" max="12773" width="20" style="653" bestFit="1" customWidth="1"/>
    <col min="12774" max="12774" width="21.33203125" style="653" customWidth="1"/>
    <col min="12775" max="12775" width="17" style="653" bestFit="1" customWidth="1"/>
    <col min="12776" max="12776" width="13.1640625" style="653" bestFit="1" customWidth="1"/>
    <col min="12777" max="12777" width="17.83203125" style="653" customWidth="1"/>
    <col min="12778" max="12778" width="18.1640625" style="653" bestFit="1" customWidth="1"/>
    <col min="12779" max="12779" width="16" style="653" bestFit="1" customWidth="1"/>
    <col min="12780" max="12780" width="14.6640625" style="653" bestFit="1" customWidth="1"/>
    <col min="12781" max="13022" width="9.33203125" style="653"/>
    <col min="13023" max="13023" width="22.5" style="653" customWidth="1"/>
    <col min="13024" max="13024" width="15.33203125" style="653" customWidth="1"/>
    <col min="13025" max="13025" width="16.5" style="653" customWidth="1"/>
    <col min="13026" max="13026" width="16.6640625" style="653" customWidth="1"/>
    <col min="13027" max="13027" width="38" style="653" customWidth="1"/>
    <col min="13028" max="13028" width="19.83203125" style="653" bestFit="1" customWidth="1"/>
    <col min="13029" max="13029" width="20" style="653" bestFit="1" customWidth="1"/>
    <col min="13030" max="13030" width="21.33203125" style="653" customWidth="1"/>
    <col min="13031" max="13031" width="17" style="653" bestFit="1" customWidth="1"/>
    <col min="13032" max="13032" width="13.1640625" style="653" bestFit="1" customWidth="1"/>
    <col min="13033" max="13033" width="17.83203125" style="653" customWidth="1"/>
    <col min="13034" max="13034" width="18.1640625" style="653" bestFit="1" customWidth="1"/>
    <col min="13035" max="13035" width="16" style="653" bestFit="1" customWidth="1"/>
    <col min="13036" max="13036" width="14.6640625" style="653" bestFit="1" customWidth="1"/>
    <col min="13037" max="13278" width="9.33203125" style="653"/>
    <col min="13279" max="13279" width="22.5" style="653" customWidth="1"/>
    <col min="13280" max="13280" width="15.33203125" style="653" customWidth="1"/>
    <col min="13281" max="13281" width="16.5" style="653" customWidth="1"/>
    <col min="13282" max="13282" width="16.6640625" style="653" customWidth="1"/>
    <col min="13283" max="13283" width="38" style="653" customWidth="1"/>
    <col min="13284" max="13284" width="19.83203125" style="653" bestFit="1" customWidth="1"/>
    <col min="13285" max="13285" width="20" style="653" bestFit="1" customWidth="1"/>
    <col min="13286" max="13286" width="21.33203125" style="653" customWidth="1"/>
    <col min="13287" max="13287" width="17" style="653" bestFit="1" customWidth="1"/>
    <col min="13288" max="13288" width="13.1640625" style="653" bestFit="1" customWidth="1"/>
    <col min="13289" max="13289" width="17.83203125" style="653" customWidth="1"/>
    <col min="13290" max="13290" width="18.1640625" style="653" bestFit="1" customWidth="1"/>
    <col min="13291" max="13291" width="16" style="653" bestFit="1" customWidth="1"/>
    <col min="13292" max="13292" width="14.6640625" style="653" bestFit="1" customWidth="1"/>
    <col min="13293" max="13534" width="9.33203125" style="653"/>
    <col min="13535" max="13535" width="22.5" style="653" customWidth="1"/>
    <col min="13536" max="13536" width="15.33203125" style="653" customWidth="1"/>
    <col min="13537" max="13537" width="16.5" style="653" customWidth="1"/>
    <col min="13538" max="13538" width="16.6640625" style="653" customWidth="1"/>
    <col min="13539" max="13539" width="38" style="653" customWidth="1"/>
    <col min="13540" max="13540" width="19.83203125" style="653" bestFit="1" customWidth="1"/>
    <col min="13541" max="13541" width="20" style="653" bestFit="1" customWidth="1"/>
    <col min="13542" max="13542" width="21.33203125" style="653" customWidth="1"/>
    <col min="13543" max="13543" width="17" style="653" bestFit="1" customWidth="1"/>
    <col min="13544" max="13544" width="13.1640625" style="653" bestFit="1" customWidth="1"/>
    <col min="13545" max="13545" width="17.83203125" style="653" customWidth="1"/>
    <col min="13546" max="13546" width="18.1640625" style="653" bestFit="1" customWidth="1"/>
    <col min="13547" max="13547" width="16" style="653" bestFit="1" customWidth="1"/>
    <col min="13548" max="13548" width="14.6640625" style="653" bestFit="1" customWidth="1"/>
    <col min="13549" max="13790" width="9.33203125" style="653"/>
    <col min="13791" max="13791" width="22.5" style="653" customWidth="1"/>
    <col min="13792" max="13792" width="15.33203125" style="653" customWidth="1"/>
    <col min="13793" max="13793" width="16.5" style="653" customWidth="1"/>
    <col min="13794" max="13794" width="16.6640625" style="653" customWidth="1"/>
    <col min="13795" max="13795" width="38" style="653" customWidth="1"/>
    <col min="13796" max="13796" width="19.83203125" style="653" bestFit="1" customWidth="1"/>
    <col min="13797" max="13797" width="20" style="653" bestFit="1" customWidth="1"/>
    <col min="13798" max="13798" width="21.33203125" style="653" customWidth="1"/>
    <col min="13799" max="13799" width="17" style="653" bestFit="1" customWidth="1"/>
    <col min="13800" max="13800" width="13.1640625" style="653" bestFit="1" customWidth="1"/>
    <col min="13801" max="13801" width="17.83203125" style="653" customWidth="1"/>
    <col min="13802" max="13802" width="18.1640625" style="653" bestFit="1" customWidth="1"/>
    <col min="13803" max="13803" width="16" style="653" bestFit="1" customWidth="1"/>
    <col min="13804" max="13804" width="14.6640625" style="653" bestFit="1" customWidth="1"/>
    <col min="13805" max="14046" width="9.33203125" style="653"/>
    <col min="14047" max="14047" width="22.5" style="653" customWidth="1"/>
    <col min="14048" max="14048" width="15.33203125" style="653" customWidth="1"/>
    <col min="14049" max="14049" width="16.5" style="653" customWidth="1"/>
    <col min="14050" max="14050" width="16.6640625" style="653" customWidth="1"/>
    <col min="14051" max="14051" width="38" style="653" customWidth="1"/>
    <col min="14052" max="14052" width="19.83203125" style="653" bestFit="1" customWidth="1"/>
    <col min="14053" max="14053" width="20" style="653" bestFit="1" customWidth="1"/>
    <col min="14054" max="14054" width="21.33203125" style="653" customWidth="1"/>
    <col min="14055" max="14055" width="17" style="653" bestFit="1" customWidth="1"/>
    <col min="14056" max="14056" width="13.1640625" style="653" bestFit="1" customWidth="1"/>
    <col min="14057" max="14057" width="17.83203125" style="653" customWidth="1"/>
    <col min="14058" max="14058" width="18.1640625" style="653" bestFit="1" customWidth="1"/>
    <col min="14059" max="14059" width="16" style="653" bestFit="1" customWidth="1"/>
    <col min="14060" max="14060" width="14.6640625" style="653" bestFit="1" customWidth="1"/>
    <col min="14061" max="14302" width="9.33203125" style="653"/>
    <col min="14303" max="14303" width="22.5" style="653" customWidth="1"/>
    <col min="14304" max="14304" width="15.33203125" style="653" customWidth="1"/>
    <col min="14305" max="14305" width="16.5" style="653" customWidth="1"/>
    <col min="14306" max="14306" width="16.6640625" style="653" customWidth="1"/>
    <col min="14307" max="14307" width="38" style="653" customWidth="1"/>
    <col min="14308" max="14308" width="19.83203125" style="653" bestFit="1" customWidth="1"/>
    <col min="14309" max="14309" width="20" style="653" bestFit="1" customWidth="1"/>
    <col min="14310" max="14310" width="21.33203125" style="653" customWidth="1"/>
    <col min="14311" max="14311" width="17" style="653" bestFit="1" customWidth="1"/>
    <col min="14312" max="14312" width="13.1640625" style="653" bestFit="1" customWidth="1"/>
    <col min="14313" max="14313" width="17.83203125" style="653" customWidth="1"/>
    <col min="14314" max="14314" width="18.1640625" style="653" bestFit="1" customWidth="1"/>
    <col min="14315" max="14315" width="16" style="653" bestFit="1" customWidth="1"/>
    <col min="14316" max="14316" width="14.6640625" style="653" bestFit="1" customWidth="1"/>
    <col min="14317" max="14558" width="9.33203125" style="653"/>
    <col min="14559" max="14559" width="22.5" style="653" customWidth="1"/>
    <col min="14560" max="14560" width="15.33203125" style="653" customWidth="1"/>
    <col min="14561" max="14561" width="16.5" style="653" customWidth="1"/>
    <col min="14562" max="14562" width="16.6640625" style="653" customWidth="1"/>
    <col min="14563" max="14563" width="38" style="653" customWidth="1"/>
    <col min="14564" max="14564" width="19.83203125" style="653" bestFit="1" customWidth="1"/>
    <col min="14565" max="14565" width="20" style="653" bestFit="1" customWidth="1"/>
    <col min="14566" max="14566" width="21.33203125" style="653" customWidth="1"/>
    <col min="14567" max="14567" width="17" style="653" bestFit="1" customWidth="1"/>
    <col min="14568" max="14568" width="13.1640625" style="653" bestFit="1" customWidth="1"/>
    <col min="14569" max="14569" width="17.83203125" style="653" customWidth="1"/>
    <col min="14570" max="14570" width="18.1640625" style="653" bestFit="1" customWidth="1"/>
    <col min="14571" max="14571" width="16" style="653" bestFit="1" customWidth="1"/>
    <col min="14572" max="14572" width="14.6640625" style="653" bestFit="1" customWidth="1"/>
    <col min="14573" max="14814" width="9.33203125" style="653"/>
    <col min="14815" max="14815" width="22.5" style="653" customWidth="1"/>
    <col min="14816" max="14816" width="15.33203125" style="653" customWidth="1"/>
    <col min="14817" max="14817" width="16.5" style="653" customWidth="1"/>
    <col min="14818" max="14818" width="16.6640625" style="653" customWidth="1"/>
    <col min="14819" max="14819" width="38" style="653" customWidth="1"/>
    <col min="14820" max="14820" width="19.83203125" style="653" bestFit="1" customWidth="1"/>
    <col min="14821" max="14821" width="20" style="653" bestFit="1" customWidth="1"/>
    <col min="14822" max="14822" width="21.33203125" style="653" customWidth="1"/>
    <col min="14823" max="14823" width="17" style="653" bestFit="1" customWidth="1"/>
    <col min="14824" max="14824" width="13.1640625" style="653" bestFit="1" customWidth="1"/>
    <col min="14825" max="14825" width="17.83203125" style="653" customWidth="1"/>
    <col min="14826" max="14826" width="18.1640625" style="653" bestFit="1" customWidth="1"/>
    <col min="14827" max="14827" width="16" style="653" bestFit="1" customWidth="1"/>
    <col min="14828" max="14828" width="14.6640625" style="653" bestFit="1" customWidth="1"/>
    <col min="14829" max="15070" width="9.33203125" style="653"/>
    <col min="15071" max="15071" width="22.5" style="653" customWidth="1"/>
    <col min="15072" max="15072" width="15.33203125" style="653" customWidth="1"/>
    <col min="15073" max="15073" width="16.5" style="653" customWidth="1"/>
    <col min="15074" max="15074" width="16.6640625" style="653" customWidth="1"/>
    <col min="15075" max="15075" width="38" style="653" customWidth="1"/>
    <col min="15076" max="15076" width="19.83203125" style="653" bestFit="1" customWidth="1"/>
    <col min="15077" max="15077" width="20" style="653" bestFit="1" customWidth="1"/>
    <col min="15078" max="15078" width="21.33203125" style="653" customWidth="1"/>
    <col min="15079" max="15079" width="17" style="653" bestFit="1" customWidth="1"/>
    <col min="15080" max="15080" width="13.1640625" style="653" bestFit="1" customWidth="1"/>
    <col min="15081" max="15081" width="17.83203125" style="653" customWidth="1"/>
    <col min="15082" max="15082" width="18.1640625" style="653" bestFit="1" customWidth="1"/>
    <col min="15083" max="15083" width="16" style="653" bestFit="1" customWidth="1"/>
    <col min="15084" max="15084" width="14.6640625" style="653" bestFit="1" customWidth="1"/>
    <col min="15085" max="15326" width="9.33203125" style="653"/>
    <col min="15327" max="15327" width="22.5" style="653" customWidth="1"/>
    <col min="15328" max="15328" width="15.33203125" style="653" customWidth="1"/>
    <col min="15329" max="15329" width="16.5" style="653" customWidth="1"/>
    <col min="15330" max="15330" width="16.6640625" style="653" customWidth="1"/>
    <col min="15331" max="15331" width="38" style="653" customWidth="1"/>
    <col min="15332" max="15332" width="19.83203125" style="653" bestFit="1" customWidth="1"/>
    <col min="15333" max="15333" width="20" style="653" bestFit="1" customWidth="1"/>
    <col min="15334" max="15334" width="21.33203125" style="653" customWidth="1"/>
    <col min="15335" max="15335" width="17" style="653" bestFit="1" customWidth="1"/>
    <col min="15336" max="15336" width="13.1640625" style="653" bestFit="1" customWidth="1"/>
    <col min="15337" max="15337" width="17.83203125" style="653" customWidth="1"/>
    <col min="15338" max="15338" width="18.1640625" style="653" bestFit="1" customWidth="1"/>
    <col min="15339" max="15339" width="16" style="653" bestFit="1" customWidth="1"/>
    <col min="15340" max="15340" width="14.6640625" style="653" bestFit="1" customWidth="1"/>
    <col min="15341" max="15582" width="9.33203125" style="653"/>
    <col min="15583" max="15583" width="22.5" style="653" customWidth="1"/>
    <col min="15584" max="15584" width="15.33203125" style="653" customWidth="1"/>
    <col min="15585" max="15585" width="16.5" style="653" customWidth="1"/>
    <col min="15586" max="15586" width="16.6640625" style="653" customWidth="1"/>
    <col min="15587" max="15587" width="38" style="653" customWidth="1"/>
    <col min="15588" max="15588" width="19.83203125" style="653" bestFit="1" customWidth="1"/>
    <col min="15589" max="15589" width="20" style="653" bestFit="1" customWidth="1"/>
    <col min="15590" max="15590" width="21.33203125" style="653" customWidth="1"/>
    <col min="15591" max="15591" width="17" style="653" bestFit="1" customWidth="1"/>
    <col min="15592" max="15592" width="13.1640625" style="653" bestFit="1" customWidth="1"/>
    <col min="15593" max="15593" width="17.83203125" style="653" customWidth="1"/>
    <col min="15594" max="15594" width="18.1640625" style="653" bestFit="1" customWidth="1"/>
    <col min="15595" max="15595" width="16" style="653" bestFit="1" customWidth="1"/>
    <col min="15596" max="15596" width="14.6640625" style="653" bestFit="1" customWidth="1"/>
    <col min="15597" max="15838" width="9.33203125" style="653"/>
    <col min="15839" max="15839" width="22.5" style="653" customWidth="1"/>
    <col min="15840" max="15840" width="15.33203125" style="653" customWidth="1"/>
    <col min="15841" max="15841" width="16.5" style="653" customWidth="1"/>
    <col min="15842" max="15842" width="16.6640625" style="653" customWidth="1"/>
    <col min="15843" max="15843" width="38" style="653" customWidth="1"/>
    <col min="15844" max="15844" width="19.83203125" style="653" bestFit="1" customWidth="1"/>
    <col min="15845" max="15845" width="20" style="653" bestFit="1" customWidth="1"/>
    <col min="15846" max="15846" width="21.33203125" style="653" customWidth="1"/>
    <col min="15847" max="15847" width="17" style="653" bestFit="1" customWidth="1"/>
    <col min="15848" max="15848" width="13.1640625" style="653" bestFit="1" customWidth="1"/>
    <col min="15849" max="15849" width="17.83203125" style="653" customWidth="1"/>
    <col min="15850" max="15850" width="18.1640625" style="653" bestFit="1" customWidth="1"/>
    <col min="15851" max="15851" width="16" style="653" bestFit="1" customWidth="1"/>
    <col min="15852" max="15852" width="14.6640625" style="653" bestFit="1" customWidth="1"/>
    <col min="15853" max="16094" width="9.33203125" style="653"/>
    <col min="16095" max="16095" width="22.5" style="653" customWidth="1"/>
    <col min="16096" max="16096" width="15.33203125" style="653" customWidth="1"/>
    <col min="16097" max="16097" width="16.5" style="653" customWidth="1"/>
    <col min="16098" max="16098" width="16.6640625" style="653" customWidth="1"/>
    <col min="16099" max="16099" width="38" style="653" customWidth="1"/>
    <col min="16100" max="16100" width="19.83203125" style="653" bestFit="1" customWidth="1"/>
    <col min="16101" max="16101" width="20" style="653" bestFit="1" customWidth="1"/>
    <col min="16102" max="16102" width="21.33203125" style="653" customWidth="1"/>
    <col min="16103" max="16103" width="17" style="653" bestFit="1" customWidth="1"/>
    <col min="16104" max="16104" width="13.1640625" style="653" bestFit="1" customWidth="1"/>
    <col min="16105" max="16105" width="17.83203125" style="653" customWidth="1"/>
    <col min="16106" max="16106" width="18.1640625" style="653" bestFit="1" customWidth="1"/>
    <col min="16107" max="16107" width="16" style="653" bestFit="1" customWidth="1"/>
    <col min="16108" max="16108" width="14.6640625" style="653" bestFit="1" customWidth="1"/>
    <col min="16109" max="16384" width="9.33203125" style="653"/>
  </cols>
  <sheetData>
    <row r="1" spans="1:11" ht="18.75" x14ac:dyDescent="0.3">
      <c r="B1" s="2197" t="s">
        <v>666</v>
      </c>
      <c r="C1" s="2197"/>
      <c r="D1" s="2197"/>
      <c r="E1" s="2197"/>
      <c r="F1" s="2197"/>
      <c r="G1" s="2197"/>
      <c r="H1" s="2197"/>
      <c r="I1" s="2197"/>
      <c r="J1" s="2197"/>
      <c r="K1" s="2197"/>
    </row>
    <row r="2" spans="1:11" ht="18.75" x14ac:dyDescent="0.3">
      <c r="B2" s="2216" t="s">
        <v>1186</v>
      </c>
      <c r="C2" s="2217"/>
      <c r="D2" s="2217"/>
      <c r="E2" s="2217"/>
      <c r="F2" s="2217"/>
      <c r="G2" s="2217"/>
      <c r="H2" s="2217"/>
      <c r="I2" s="2217"/>
      <c r="J2" s="2217"/>
      <c r="K2" s="2217"/>
    </row>
    <row r="3" spans="1:11" ht="23.25" customHeight="1" x14ac:dyDescent="0.3">
      <c r="B3" s="1342"/>
      <c r="C3" s="1343"/>
      <c r="D3" s="1343"/>
      <c r="E3" s="1343"/>
      <c r="F3" s="1343"/>
      <c r="G3" s="1343"/>
      <c r="H3" s="1344"/>
      <c r="I3" s="1343"/>
      <c r="J3" s="1345"/>
      <c r="K3" s="1342"/>
    </row>
    <row r="4" spans="1:11" ht="18.75" x14ac:dyDescent="0.3">
      <c r="B4" s="1342"/>
      <c r="C4" s="1343"/>
      <c r="D4" s="1343"/>
      <c r="E4" s="1343"/>
      <c r="F4" s="1343"/>
      <c r="G4" s="1343"/>
      <c r="H4" s="1344"/>
      <c r="I4" s="1343"/>
      <c r="J4" s="1345"/>
      <c r="K4" s="1342"/>
    </row>
    <row r="5" spans="1:11" ht="18.75" x14ac:dyDescent="0.3">
      <c r="B5" s="1346"/>
      <c r="C5" s="1343"/>
      <c r="D5" s="1343"/>
      <c r="E5" s="1343"/>
      <c r="F5" s="1343"/>
      <c r="G5" s="1343"/>
      <c r="H5" s="1344"/>
      <c r="I5" s="1347"/>
      <c r="J5" s="1348"/>
      <c r="K5" s="1346"/>
    </row>
    <row r="6" spans="1:11" ht="19.5" thickBot="1" x14ac:dyDescent="0.35">
      <c r="B6" s="1343"/>
      <c r="C6" s="1343"/>
      <c r="D6" s="1343"/>
      <c r="E6" s="1343"/>
      <c r="F6" s="1343"/>
      <c r="G6" s="1343"/>
      <c r="H6" s="1344"/>
      <c r="I6" s="1343"/>
      <c r="J6" s="1344"/>
      <c r="K6" s="1349" t="s">
        <v>950</v>
      </c>
    </row>
    <row r="7" spans="1:11" ht="22.5" customHeight="1" x14ac:dyDescent="0.25">
      <c r="A7" s="655"/>
      <c r="B7" s="2198" t="s">
        <v>31</v>
      </c>
      <c r="C7" s="2199"/>
      <c r="D7" s="2199"/>
      <c r="E7" s="2200"/>
      <c r="F7" s="2207" t="s">
        <v>1172</v>
      </c>
      <c r="G7" s="2210" t="s">
        <v>1086</v>
      </c>
      <c r="H7" s="2211"/>
      <c r="I7" s="1350" t="s">
        <v>1087</v>
      </c>
      <c r="J7" s="1351" t="s">
        <v>1173</v>
      </c>
      <c r="K7" s="2214" t="s">
        <v>1174</v>
      </c>
    </row>
    <row r="8" spans="1:11" ht="22.5" customHeight="1" x14ac:dyDescent="0.25">
      <c r="A8" s="655"/>
      <c r="B8" s="2201"/>
      <c r="C8" s="2202"/>
      <c r="D8" s="2202"/>
      <c r="E8" s="2203"/>
      <c r="F8" s="2208"/>
      <c r="G8" s="2212"/>
      <c r="H8" s="2213"/>
      <c r="I8" s="1352" t="s">
        <v>1175</v>
      </c>
      <c r="J8" s="1353" t="s">
        <v>1176</v>
      </c>
      <c r="K8" s="2215"/>
    </row>
    <row r="9" spans="1:11" ht="29.25" customHeight="1" thickBot="1" x14ac:dyDescent="0.3">
      <c r="A9" s="655"/>
      <c r="B9" s="2204"/>
      <c r="C9" s="2205"/>
      <c r="D9" s="2205"/>
      <c r="E9" s="2206"/>
      <c r="F9" s="2209"/>
      <c r="G9" s="1354" t="s">
        <v>1088</v>
      </c>
      <c r="H9" s="1355" t="s">
        <v>1177</v>
      </c>
      <c r="I9" s="1356" t="s">
        <v>1089</v>
      </c>
      <c r="J9" s="1357" t="s">
        <v>940</v>
      </c>
      <c r="K9" s="2215"/>
    </row>
    <row r="10" spans="1:11" ht="18" customHeight="1" x14ac:dyDescent="0.3">
      <c r="B10" s="1358" t="s">
        <v>1090</v>
      </c>
      <c r="C10" s="1359"/>
      <c r="D10" s="1359"/>
      <c r="E10" s="1360"/>
      <c r="F10" s="1361">
        <f>(500+2500)</f>
        <v>3000</v>
      </c>
      <c r="G10" s="1362">
        <v>100</v>
      </c>
      <c r="H10" s="1363">
        <v>3000</v>
      </c>
      <c r="I10" s="1364">
        <f>500+2500</f>
        <v>3000</v>
      </c>
      <c r="J10" s="1365"/>
      <c r="K10" s="1365">
        <f>H10-I10-J10</f>
        <v>0</v>
      </c>
    </row>
    <row r="11" spans="1:11" ht="18" customHeight="1" x14ac:dyDescent="0.3">
      <c r="B11" s="1358" t="s">
        <v>1178</v>
      </c>
      <c r="C11" s="1359"/>
      <c r="D11" s="1359"/>
      <c r="E11" s="1360"/>
      <c r="F11" s="1361">
        <f>(7537500-5992312.5-370845)</f>
        <v>1174342.5</v>
      </c>
      <c r="G11" s="1362">
        <v>52.85</v>
      </c>
      <c r="H11" s="1363">
        <v>620645</v>
      </c>
      <c r="I11" s="1364"/>
      <c r="J11" s="1366"/>
      <c r="K11" s="1366">
        <f t="shared" ref="K11:K31" si="0">H11-I11-J11</f>
        <v>620645</v>
      </c>
    </row>
    <row r="12" spans="1:11" ht="18" customHeight="1" x14ac:dyDescent="0.3">
      <c r="B12" s="1367" t="s">
        <v>1179</v>
      </c>
      <c r="C12" s="1359"/>
      <c r="D12" s="1359"/>
      <c r="E12" s="1360"/>
      <c r="F12" s="1361">
        <f>5000+35631+300</f>
        <v>40931</v>
      </c>
      <c r="G12" s="1362">
        <v>10.3</v>
      </c>
      <c r="H12" s="1363">
        <f>(5000-150-1320+8670)-9690+3634+100</f>
        <v>6244</v>
      </c>
      <c r="I12" s="1364"/>
      <c r="J12" s="1366"/>
      <c r="K12" s="1366">
        <f t="shared" si="0"/>
        <v>6244</v>
      </c>
    </row>
    <row r="13" spans="1:11" ht="18" customHeight="1" x14ac:dyDescent="0.3">
      <c r="B13" s="1368" t="s">
        <v>1180</v>
      </c>
      <c r="C13" s="1369"/>
      <c r="D13" s="1369"/>
      <c r="E13" s="1370"/>
      <c r="F13" s="1371">
        <v>150000</v>
      </c>
      <c r="G13" s="1372">
        <v>35</v>
      </c>
      <c r="H13" s="1373">
        <v>69490</v>
      </c>
      <c r="I13" s="1374"/>
      <c r="J13" s="1375"/>
      <c r="K13" s="1366">
        <f t="shared" si="0"/>
        <v>69490</v>
      </c>
    </row>
    <row r="14" spans="1:11" ht="18" customHeight="1" x14ac:dyDescent="0.3">
      <c r="B14" s="1368" t="s">
        <v>1091</v>
      </c>
      <c r="C14" s="1369"/>
      <c r="D14" s="1369"/>
      <c r="E14" s="1369"/>
      <c r="F14" s="1361">
        <f>(10000-9500+25000)</f>
        <v>25500</v>
      </c>
      <c r="G14" s="1372">
        <v>100</v>
      </c>
      <c r="H14" s="1373">
        <f>(500+25000)</f>
        <v>25500</v>
      </c>
      <c r="I14" s="1364">
        <v>0</v>
      </c>
      <c r="J14" s="1375"/>
      <c r="K14" s="1366">
        <f t="shared" si="0"/>
        <v>25500</v>
      </c>
    </row>
    <row r="15" spans="1:11" ht="18" customHeight="1" x14ac:dyDescent="0.3">
      <c r="B15" s="1368" t="s">
        <v>1181</v>
      </c>
      <c r="C15" s="1369"/>
      <c r="D15" s="1369"/>
      <c r="E15" s="1369"/>
      <c r="F15" s="1361">
        <v>3000</v>
      </c>
      <c r="G15" s="1372">
        <v>100</v>
      </c>
      <c r="H15" s="1373">
        <v>102627</v>
      </c>
      <c r="I15" s="1376"/>
      <c r="J15" s="1375"/>
      <c r="K15" s="1366">
        <f t="shared" si="0"/>
        <v>102627</v>
      </c>
    </row>
    <row r="16" spans="1:11" ht="18" customHeight="1" x14ac:dyDescent="0.3">
      <c r="B16" s="1377" t="s">
        <v>1092</v>
      </c>
      <c r="C16" s="1359"/>
      <c r="D16" s="1359"/>
      <c r="E16" s="1359"/>
      <c r="F16" s="1361"/>
      <c r="G16" s="1362"/>
      <c r="H16" s="1378">
        <f>SUM(H10:H15)</f>
        <v>827506</v>
      </c>
      <c r="I16" s="1379">
        <f>SUM(I10:I15)</f>
        <v>3000</v>
      </c>
      <c r="J16" s="1380">
        <f>SUM(J10:J15)</f>
        <v>0</v>
      </c>
      <c r="K16" s="1381">
        <f>SUM(K10:K15)</f>
        <v>824506</v>
      </c>
    </row>
    <row r="17" spans="2:11" ht="18" customHeight="1" x14ac:dyDescent="0.3">
      <c r="B17" s="1382" t="s">
        <v>1182</v>
      </c>
      <c r="C17" s="1383"/>
      <c r="D17" s="1383"/>
      <c r="E17" s="1384"/>
      <c r="F17" s="1385">
        <f>(1794000+335200+258800+275390+1815700+98800+202918+232000+90000)</f>
        <v>5102808</v>
      </c>
      <c r="G17" s="1386">
        <v>100</v>
      </c>
      <c r="H17" s="1387">
        <v>5496616</v>
      </c>
      <c r="I17" s="1388">
        <v>0</v>
      </c>
      <c r="J17" s="1389"/>
      <c r="K17" s="1366">
        <f t="shared" si="0"/>
        <v>5496616</v>
      </c>
    </row>
    <row r="18" spans="2:11" ht="18" customHeight="1" x14ac:dyDescent="0.3">
      <c r="B18" s="1367" t="s">
        <v>1093</v>
      </c>
      <c r="C18" s="1359"/>
      <c r="D18" s="1359"/>
      <c r="E18" s="1360"/>
      <c r="F18" s="1361">
        <f>(3000+17000)</f>
        <v>20000</v>
      </c>
      <c r="G18" s="1362">
        <v>100</v>
      </c>
      <c r="H18" s="1363">
        <f>(3000+17000)</f>
        <v>20000</v>
      </c>
      <c r="I18" s="1364"/>
      <c r="J18" s="1366"/>
      <c r="K18" s="1366">
        <f t="shared" si="0"/>
        <v>20000</v>
      </c>
    </row>
    <row r="19" spans="2:11" ht="18" customHeight="1" x14ac:dyDescent="0.3">
      <c r="B19" s="1358" t="s">
        <v>1183</v>
      </c>
      <c r="C19" s="1359"/>
      <c r="D19" s="1359"/>
      <c r="E19" s="1360"/>
      <c r="F19" s="1361">
        <v>4700</v>
      </c>
      <c r="G19" s="1362">
        <v>100</v>
      </c>
      <c r="H19" s="1363">
        <f>4700+45017</f>
        <v>49717</v>
      </c>
      <c r="I19" s="1364">
        <v>4700</v>
      </c>
      <c r="J19" s="1366"/>
      <c r="K19" s="1366">
        <f t="shared" si="0"/>
        <v>45017</v>
      </c>
    </row>
    <row r="20" spans="2:11" ht="18" customHeight="1" x14ac:dyDescent="0.3">
      <c r="B20" s="1358" t="s">
        <v>1094</v>
      </c>
      <c r="C20" s="1359"/>
      <c r="D20" s="1359"/>
      <c r="E20" s="1360"/>
      <c r="F20" s="1361">
        <v>3000</v>
      </c>
      <c r="G20" s="1362">
        <v>100</v>
      </c>
      <c r="H20" s="1363">
        <v>3000</v>
      </c>
      <c r="I20" s="1364"/>
      <c r="J20" s="1366"/>
      <c r="K20" s="1366">
        <f t="shared" si="0"/>
        <v>3000</v>
      </c>
    </row>
    <row r="21" spans="2:11" ht="18" customHeight="1" x14ac:dyDescent="0.3">
      <c r="B21" s="1358" t="s">
        <v>1095</v>
      </c>
      <c r="C21" s="1359"/>
      <c r="D21" s="1359"/>
      <c r="E21" s="1360"/>
      <c r="F21" s="1361">
        <v>15000</v>
      </c>
      <c r="G21" s="1362">
        <v>100</v>
      </c>
      <c r="H21" s="1363">
        <v>15000</v>
      </c>
      <c r="I21" s="1364"/>
      <c r="J21" s="1366"/>
      <c r="K21" s="1366">
        <f t="shared" si="0"/>
        <v>15000</v>
      </c>
    </row>
    <row r="22" spans="2:11" ht="18" customHeight="1" x14ac:dyDescent="0.3">
      <c r="B22" s="1390" t="s">
        <v>1096</v>
      </c>
      <c r="C22" s="1359"/>
      <c r="D22" s="1359"/>
      <c r="E22" s="1360"/>
      <c r="F22" s="1391"/>
      <c r="G22" s="1362">
        <v>100</v>
      </c>
      <c r="H22" s="1363"/>
      <c r="I22" s="1364"/>
      <c r="J22" s="1366"/>
      <c r="K22" s="1366">
        <f t="shared" si="0"/>
        <v>0</v>
      </c>
    </row>
    <row r="23" spans="2:11" ht="18" customHeight="1" x14ac:dyDescent="0.3">
      <c r="B23" s="1368" t="s">
        <v>1097</v>
      </c>
      <c r="C23" s="1369"/>
      <c r="D23" s="1369"/>
      <c r="E23" s="1369"/>
      <c r="F23" s="1361">
        <f>(500+2500)</f>
        <v>3000</v>
      </c>
      <c r="G23" s="1372">
        <v>100</v>
      </c>
      <c r="H23" s="1373">
        <f>(2500+500)</f>
        <v>3000</v>
      </c>
      <c r="I23" s="1364"/>
      <c r="J23" s="1375"/>
      <c r="K23" s="1366">
        <f t="shared" si="0"/>
        <v>3000</v>
      </c>
    </row>
    <row r="24" spans="2:11" ht="18" customHeight="1" x14ac:dyDescent="0.3">
      <c r="B24" s="1368" t="s">
        <v>1098</v>
      </c>
      <c r="C24" s="1369"/>
      <c r="D24" s="1369"/>
      <c r="E24" s="1369"/>
      <c r="F24" s="1361">
        <v>3000</v>
      </c>
      <c r="G24" s="1372">
        <v>85</v>
      </c>
      <c r="H24" s="1373">
        <f>(1700+850)</f>
        <v>2550</v>
      </c>
      <c r="I24" s="1376"/>
      <c r="J24" s="1375"/>
      <c r="K24" s="1366">
        <f t="shared" si="0"/>
        <v>2550</v>
      </c>
    </row>
    <row r="25" spans="2:11" ht="18" customHeight="1" x14ac:dyDescent="0.3">
      <c r="B25" s="1358" t="s">
        <v>1184</v>
      </c>
      <c r="C25" s="1359"/>
      <c r="D25" s="1359"/>
      <c r="E25" s="1359"/>
      <c r="F25" s="1361">
        <v>0</v>
      </c>
      <c r="G25" s="1362">
        <v>0</v>
      </c>
      <c r="H25" s="1363">
        <v>0</v>
      </c>
      <c r="I25" s="1364"/>
      <c r="J25" s="1366"/>
      <c r="K25" s="1366">
        <f t="shared" si="0"/>
        <v>0</v>
      </c>
    </row>
    <row r="26" spans="2:11" ht="18" customHeight="1" x14ac:dyDescent="0.3">
      <c r="B26" s="1358" t="s">
        <v>1099</v>
      </c>
      <c r="C26" s="1359"/>
      <c r="D26" s="1359"/>
      <c r="E26" s="1359"/>
      <c r="F26" s="1361">
        <v>3000</v>
      </c>
      <c r="G26" s="1362">
        <v>90</v>
      </c>
      <c r="H26" s="1363">
        <v>2700</v>
      </c>
      <c r="I26" s="1376"/>
      <c r="J26" s="1366"/>
      <c r="K26" s="1366">
        <f t="shared" si="0"/>
        <v>2700</v>
      </c>
    </row>
    <row r="27" spans="2:11" ht="18" customHeight="1" x14ac:dyDescent="0.3">
      <c r="B27" s="1358" t="s">
        <v>1100</v>
      </c>
      <c r="C27" s="1359"/>
      <c r="D27" s="1359"/>
      <c r="E27" s="1359"/>
      <c r="F27" s="1361">
        <v>0</v>
      </c>
      <c r="G27" s="1362">
        <v>0</v>
      </c>
      <c r="H27" s="1363">
        <v>0</v>
      </c>
      <c r="I27" s="1376"/>
      <c r="J27" s="1366"/>
      <c r="K27" s="1366">
        <f t="shared" si="0"/>
        <v>0</v>
      </c>
    </row>
    <row r="28" spans="2:11" ht="18" customHeight="1" x14ac:dyDescent="0.3">
      <c r="B28" s="1392" t="s">
        <v>1101</v>
      </c>
      <c r="C28" s="1359"/>
      <c r="D28" s="1359"/>
      <c r="E28" s="1359"/>
      <c r="F28" s="1361"/>
      <c r="G28" s="1393"/>
      <c r="H28" s="1378">
        <f>SUM(H17:H27)</f>
        <v>5592583</v>
      </c>
      <c r="I28" s="1379">
        <f>SUM(I17:I27)</f>
        <v>4700</v>
      </c>
      <c r="J28" s="1380">
        <f>SUM(J17:J27)</f>
        <v>0</v>
      </c>
      <c r="K28" s="1381">
        <f>SUM(K17:K27)</f>
        <v>5587883</v>
      </c>
    </row>
    <row r="29" spans="2:11" ht="18" customHeight="1" x14ac:dyDescent="0.3">
      <c r="B29" s="1368" t="s">
        <v>1185</v>
      </c>
      <c r="C29" s="1369"/>
      <c r="D29" s="1369"/>
      <c r="E29" s="1369"/>
      <c r="F29" s="1371">
        <v>728840</v>
      </c>
      <c r="G29" s="1372">
        <v>3.51</v>
      </c>
      <c r="H29" s="1373">
        <v>25570</v>
      </c>
      <c r="I29" s="1374"/>
      <c r="J29" s="1375"/>
      <c r="K29" s="1366">
        <f t="shared" si="0"/>
        <v>25570</v>
      </c>
    </row>
    <row r="30" spans="2:11" ht="18" customHeight="1" x14ac:dyDescent="0.3">
      <c r="B30" s="1368" t="s">
        <v>1102</v>
      </c>
      <c r="C30" s="1369"/>
      <c r="D30" s="1369"/>
      <c r="E30" s="1370"/>
      <c r="F30" s="1371">
        <v>13473446</v>
      </c>
      <c r="G30" s="1372">
        <v>0.11</v>
      </c>
      <c r="H30" s="1373">
        <v>14590</v>
      </c>
      <c r="I30" s="1374"/>
      <c r="J30" s="1375"/>
      <c r="K30" s="1366">
        <f t="shared" si="0"/>
        <v>14590</v>
      </c>
    </row>
    <row r="31" spans="2:11" ht="18" customHeight="1" x14ac:dyDescent="0.3">
      <c r="B31" s="1368" t="s">
        <v>1103</v>
      </c>
      <c r="C31" s="1369"/>
      <c r="D31" s="1369"/>
      <c r="E31" s="1370"/>
      <c r="F31" s="1371">
        <v>9000001</v>
      </c>
      <c r="G31" s="1394">
        <v>3.7999999999999999E-2</v>
      </c>
      <c r="H31" s="1373">
        <v>3462</v>
      </c>
      <c r="I31" s="1374"/>
      <c r="J31" s="1375"/>
      <c r="K31" s="1366">
        <f t="shared" si="0"/>
        <v>3462</v>
      </c>
    </row>
    <row r="32" spans="2:11" ht="18" customHeight="1" thickBot="1" x14ac:dyDescent="0.35">
      <c r="B32" s="1395" t="s">
        <v>1104</v>
      </c>
      <c r="C32" s="1396"/>
      <c r="D32" s="1396"/>
      <c r="E32" s="1396"/>
      <c r="F32" s="1519"/>
      <c r="G32" s="1397"/>
      <c r="H32" s="1398">
        <f>SUM(H29:H31)</f>
        <v>43622</v>
      </c>
      <c r="I32" s="1399">
        <f>SUM(I29:I31)</f>
        <v>0</v>
      </c>
      <c r="J32" s="1400">
        <f>SUM(J29:J31)</f>
        <v>0</v>
      </c>
      <c r="K32" s="1401">
        <f>SUM(K29:K31)</f>
        <v>43622</v>
      </c>
    </row>
    <row r="33" spans="2:11" ht="21" customHeight="1" thickBot="1" x14ac:dyDescent="0.35">
      <c r="B33" s="1402" t="s">
        <v>668</v>
      </c>
      <c r="C33" s="1403"/>
      <c r="D33" s="1403"/>
      <c r="E33" s="1403"/>
      <c r="F33" s="1404"/>
      <c r="G33" s="1405"/>
      <c r="H33" s="1406">
        <f>H16+H28+H32</f>
        <v>6463711</v>
      </c>
      <c r="I33" s="1407">
        <f>I16+I28+I32</f>
        <v>7700</v>
      </c>
      <c r="J33" s="1408">
        <f>J16+J28+J32</f>
        <v>0</v>
      </c>
      <c r="K33" s="1409">
        <f>K16+K28+K32</f>
        <v>6456011</v>
      </c>
    </row>
    <row r="34" spans="2:11" x14ac:dyDescent="0.2">
      <c r="E34" s="654"/>
      <c r="F34" s="654"/>
      <c r="G34" s="654"/>
    </row>
  </sheetData>
  <mergeCells count="6">
    <mergeCell ref="B1:K1"/>
    <mergeCell ref="B7:E9"/>
    <mergeCell ref="F7:F9"/>
    <mergeCell ref="G7:H8"/>
    <mergeCell ref="K7:K9"/>
    <mergeCell ref="B2:K2"/>
  </mergeCells>
  <printOptions horizontalCentered="1" verticalCentered="1"/>
  <pageMargins left="0.59055118110236227" right="0.59055118110236227" top="0.98425196850393704" bottom="0.98425196850393704" header="0.51181102362204722" footer="0.51181102362204722"/>
  <pageSetup paperSize="9" scale="78" orientation="landscape" r:id="rId1"/>
  <headerFooter alignWithMargins="0">
    <oddHeader xml:space="preserve">&amp;R&amp;"-,Félkövér"&amp;14 &amp;11 29. melléklet a 13/2023. (V.26.) önkormányzati rendelethez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39"/>
  <sheetViews>
    <sheetView zoomScaleNormal="100" zoomScaleSheetLayoutView="75" workbookViewId="0">
      <selection activeCell="C134" sqref="C134"/>
    </sheetView>
  </sheetViews>
  <sheetFormatPr defaultColWidth="9.33203125" defaultRowHeight="21" customHeight="1" x14ac:dyDescent="0.3"/>
  <cols>
    <col min="1" max="1" width="15.5" style="19" customWidth="1"/>
    <col min="2" max="2" width="5" style="34" customWidth="1"/>
    <col min="3" max="3" width="5.6640625" style="34" customWidth="1"/>
    <col min="4" max="5" width="2.33203125" style="34" customWidth="1"/>
    <col min="6" max="6" width="89" style="34" customWidth="1"/>
    <col min="7" max="9" width="18.83203125" style="34" customWidth="1"/>
    <col min="10" max="10" width="20" style="34" bestFit="1" customWidth="1"/>
    <col min="11" max="11" width="16.6640625" style="3" bestFit="1" customWidth="1"/>
    <col min="12" max="12" width="24.6640625" style="50" customWidth="1"/>
    <col min="13" max="13" width="25.5" style="36" bestFit="1" customWidth="1"/>
    <col min="14" max="14" width="37.83203125" style="33" customWidth="1"/>
    <col min="15" max="15" width="24.1640625" style="33" customWidth="1"/>
    <col min="16" max="16" width="10.1640625" style="33" bestFit="1" customWidth="1"/>
    <col min="17" max="17" width="9.33203125" style="1"/>
    <col min="18" max="18" width="16.83203125" style="1" bestFit="1" customWidth="1"/>
    <col min="19" max="16384" width="9.33203125" style="1"/>
  </cols>
  <sheetData>
    <row r="1" spans="1:16" ht="21" customHeight="1" x14ac:dyDescent="0.3">
      <c r="B1" s="2001"/>
      <c r="C1" s="2001"/>
      <c r="D1" s="2001"/>
      <c r="E1" s="2001"/>
      <c r="F1" s="2001"/>
    </row>
    <row r="2" spans="1:16" ht="24.75" customHeight="1" x14ac:dyDescent="0.3">
      <c r="B2" s="2006" t="s">
        <v>248</v>
      </c>
      <c r="C2" s="2006"/>
      <c r="D2" s="2006"/>
      <c r="E2" s="2006"/>
      <c r="F2" s="2006"/>
      <c r="G2" s="2006"/>
      <c r="H2" s="2006"/>
      <c r="I2" s="2006"/>
      <c r="J2" s="2006"/>
    </row>
    <row r="3" spans="1:16" ht="24.75" customHeight="1" x14ac:dyDescent="0.3">
      <c r="B3" s="57"/>
      <c r="C3" s="57"/>
      <c r="D3" s="57"/>
      <c r="E3" s="57"/>
      <c r="F3" s="57"/>
      <c r="G3" s="58"/>
      <c r="H3" s="58"/>
      <c r="I3" s="58"/>
      <c r="J3" s="58"/>
    </row>
    <row r="4" spans="1:16" ht="24.75" customHeight="1" thickBot="1" x14ac:dyDescent="0.35">
      <c r="B4" s="58"/>
      <c r="C4" s="59"/>
      <c r="D4" s="59"/>
      <c r="E4" s="59"/>
      <c r="F4" s="60"/>
      <c r="G4" s="58"/>
      <c r="H4" s="58"/>
      <c r="I4" s="58"/>
      <c r="J4" s="62" t="s">
        <v>17</v>
      </c>
    </row>
    <row r="5" spans="1:16" ht="19.5" customHeight="1" x14ac:dyDescent="0.3">
      <c r="B5" s="63"/>
      <c r="C5" s="64"/>
      <c r="D5" s="64"/>
      <c r="E5" s="64"/>
      <c r="F5" s="65" t="s">
        <v>31</v>
      </c>
      <c r="G5" s="2004" t="s">
        <v>515</v>
      </c>
      <c r="H5" s="2005"/>
      <c r="I5" s="271" t="s">
        <v>340</v>
      </c>
      <c r="J5" s="293" t="s">
        <v>100</v>
      </c>
    </row>
    <row r="6" spans="1:16" ht="19.5" customHeight="1" thickBot="1" x14ac:dyDescent="0.35">
      <c r="B6" s="67"/>
      <c r="C6" s="68"/>
      <c r="D6" s="68"/>
      <c r="E6" s="68"/>
      <c r="F6" s="69"/>
      <c r="G6" s="294" t="s">
        <v>202</v>
      </c>
      <c r="H6" s="294" t="s">
        <v>98</v>
      </c>
      <c r="I6" s="295" t="s">
        <v>99</v>
      </c>
      <c r="J6" s="295" t="s">
        <v>101</v>
      </c>
    </row>
    <row r="7" spans="1:16" ht="19.5" customHeight="1" x14ac:dyDescent="0.3">
      <c r="B7" s="71" t="s">
        <v>251</v>
      </c>
      <c r="C7" s="72"/>
      <c r="D7" s="72"/>
      <c r="E7" s="72"/>
      <c r="F7" s="73"/>
      <c r="G7" s="296"/>
      <c r="H7" s="297"/>
      <c r="I7" s="297"/>
      <c r="J7" s="298"/>
    </row>
    <row r="8" spans="1:16" s="14" customFormat="1" ht="19.5" customHeight="1" x14ac:dyDescent="0.3">
      <c r="A8" s="98"/>
      <c r="B8" s="75"/>
      <c r="C8" s="76" t="s">
        <v>308</v>
      </c>
      <c r="D8" s="76"/>
      <c r="E8" s="76"/>
      <c r="F8" s="77"/>
      <c r="G8" s="299">
        <v>1570297</v>
      </c>
      <c r="H8" s="300">
        <v>1570298</v>
      </c>
      <c r="I8" s="301">
        <v>1570298</v>
      </c>
      <c r="J8" s="302">
        <f t="shared" ref="J8:J15" si="0">+I8/H8*100</f>
        <v>100</v>
      </c>
      <c r="K8" s="24"/>
      <c r="L8" s="51"/>
      <c r="M8" s="43"/>
      <c r="N8" s="44"/>
      <c r="O8" s="43"/>
      <c r="P8" s="37"/>
    </row>
    <row r="9" spans="1:16" s="14" customFormat="1" ht="19.5" customHeight="1" x14ac:dyDescent="0.3">
      <c r="A9" s="98"/>
      <c r="B9" s="75"/>
      <c r="C9" s="78" t="s">
        <v>309</v>
      </c>
      <c r="D9" s="78"/>
      <c r="E9" s="78"/>
      <c r="F9" s="79"/>
      <c r="G9" s="303">
        <v>2038803</v>
      </c>
      <c r="H9" s="304">
        <v>2035639</v>
      </c>
      <c r="I9" s="305">
        <v>2035639</v>
      </c>
      <c r="J9" s="306">
        <f t="shared" si="0"/>
        <v>100</v>
      </c>
      <c r="K9" s="24"/>
      <c r="L9" s="51"/>
      <c r="M9" s="43"/>
      <c r="N9" s="44"/>
      <c r="O9" s="43"/>
      <c r="P9" s="37"/>
    </row>
    <row r="10" spans="1:16" s="14" customFormat="1" ht="19.5" customHeight="1" x14ac:dyDescent="0.3">
      <c r="A10" s="150"/>
      <c r="B10" s="75"/>
      <c r="C10" s="2002" t="s">
        <v>434</v>
      </c>
      <c r="D10" s="2002"/>
      <c r="E10" s="2002"/>
      <c r="F10" s="2003"/>
      <c r="G10" s="299">
        <v>1201071</v>
      </c>
      <c r="H10" s="300">
        <v>1237728</v>
      </c>
      <c r="I10" s="301">
        <v>1237728</v>
      </c>
      <c r="J10" s="302">
        <f t="shared" si="0"/>
        <v>100</v>
      </c>
      <c r="K10" s="24"/>
      <c r="L10" s="51"/>
      <c r="M10" s="43"/>
      <c r="N10" s="44"/>
      <c r="O10" s="44"/>
      <c r="P10" s="37"/>
    </row>
    <row r="11" spans="1:16" s="14" customFormat="1" ht="19.5" customHeight="1" x14ac:dyDescent="0.3">
      <c r="A11" s="98"/>
      <c r="B11" s="75"/>
      <c r="C11" s="78" t="s">
        <v>435</v>
      </c>
      <c r="D11" s="78"/>
      <c r="E11" s="78"/>
      <c r="F11" s="79"/>
      <c r="G11" s="303">
        <v>739230</v>
      </c>
      <c r="H11" s="304">
        <v>776302</v>
      </c>
      <c r="I11" s="305">
        <v>776302</v>
      </c>
      <c r="J11" s="302">
        <f t="shared" si="0"/>
        <v>100</v>
      </c>
      <c r="K11" s="24"/>
      <c r="L11" s="51"/>
      <c r="M11" s="43"/>
      <c r="N11" s="44"/>
      <c r="O11" s="43"/>
      <c r="P11" s="37"/>
    </row>
    <row r="12" spans="1:16" s="14" customFormat="1" ht="19.5" customHeight="1" x14ac:dyDescent="0.3">
      <c r="A12" s="151"/>
      <c r="B12" s="75"/>
      <c r="C12" s="80" t="s">
        <v>436</v>
      </c>
      <c r="D12" s="81"/>
      <c r="E12" s="81"/>
      <c r="F12" s="81"/>
      <c r="G12" s="307">
        <f>SUM(G13:G14)</f>
        <v>215635</v>
      </c>
      <c r="H12" s="307">
        <f t="shared" ref="H12:I12" si="1">SUM(H13:H14)</f>
        <v>215635</v>
      </c>
      <c r="I12" s="307">
        <f t="shared" si="1"/>
        <v>215635</v>
      </c>
      <c r="J12" s="769">
        <f t="shared" si="0"/>
        <v>100</v>
      </c>
      <c r="K12" s="24"/>
      <c r="L12" s="51"/>
      <c r="M12" s="43"/>
      <c r="N12" s="39"/>
      <c r="O12" s="39"/>
      <c r="P12" s="37"/>
    </row>
    <row r="13" spans="1:16" ht="19.5" customHeight="1" x14ac:dyDescent="0.3">
      <c r="A13" s="152"/>
      <c r="B13" s="82"/>
      <c r="C13" s="58"/>
      <c r="D13" s="83" t="s">
        <v>225</v>
      </c>
      <c r="E13" s="84"/>
      <c r="F13" s="85"/>
      <c r="G13" s="308">
        <v>72921</v>
      </c>
      <c r="H13" s="309">
        <v>72921</v>
      </c>
      <c r="I13" s="309">
        <v>72921</v>
      </c>
      <c r="J13" s="310">
        <f>+I13/H13*100</f>
        <v>100</v>
      </c>
      <c r="K13" s="24"/>
      <c r="L13" s="51"/>
      <c r="M13" s="43"/>
      <c r="N13" s="39"/>
      <c r="O13" s="38"/>
    </row>
    <row r="14" spans="1:16" ht="19.5" customHeight="1" x14ac:dyDescent="0.3">
      <c r="A14" s="152"/>
      <c r="B14" s="82"/>
      <c r="C14" s="58"/>
      <c r="D14" s="83" t="s">
        <v>224</v>
      </c>
      <c r="E14" s="84"/>
      <c r="F14" s="85"/>
      <c r="G14" s="308">
        <v>142714</v>
      </c>
      <c r="H14" s="309">
        <v>142714</v>
      </c>
      <c r="I14" s="309">
        <v>142714</v>
      </c>
      <c r="J14" s="310">
        <f t="shared" si="0"/>
        <v>100</v>
      </c>
      <c r="K14" s="24"/>
      <c r="L14" s="51"/>
      <c r="M14" s="43"/>
      <c r="N14" s="39"/>
      <c r="O14" s="38"/>
    </row>
    <row r="15" spans="1:16" s="14" customFormat="1" ht="19.5" customHeight="1" x14ac:dyDescent="0.3">
      <c r="A15" s="151"/>
      <c r="B15" s="75"/>
      <c r="C15" s="78" t="s">
        <v>462</v>
      </c>
      <c r="D15" s="86"/>
      <c r="E15" s="87"/>
      <c r="F15" s="88"/>
      <c r="G15" s="303">
        <f>+G8+G9+G10+G11+G12</f>
        <v>5765036</v>
      </c>
      <c r="H15" s="303">
        <f>+H8+H9+H10+H11+H12</f>
        <v>5835602</v>
      </c>
      <c r="I15" s="303">
        <f>+I8+I9+I10+I11+I12</f>
        <v>5835602</v>
      </c>
      <c r="J15" s="306">
        <f t="shared" si="0"/>
        <v>100</v>
      </c>
      <c r="K15" s="24"/>
      <c r="L15" s="51"/>
      <c r="M15" s="43"/>
      <c r="N15" s="39"/>
      <c r="O15" s="39"/>
      <c r="P15" s="37"/>
    </row>
    <row r="16" spans="1:16" s="14" customFormat="1" ht="19.5" customHeight="1" x14ac:dyDescent="0.3">
      <c r="A16" s="151"/>
      <c r="B16" s="75"/>
      <c r="C16" s="80" t="s">
        <v>463</v>
      </c>
      <c r="D16" s="76"/>
      <c r="E16" s="76"/>
      <c r="F16" s="89"/>
      <c r="G16" s="299"/>
      <c r="H16" s="300"/>
      <c r="I16" s="300"/>
      <c r="J16" s="302"/>
      <c r="K16" s="24"/>
      <c r="L16" s="51"/>
      <c r="M16" s="43"/>
      <c r="N16" s="39"/>
      <c r="O16" s="39"/>
      <c r="P16" s="37"/>
    </row>
    <row r="17" spans="1:16" ht="19.5" customHeight="1" x14ac:dyDescent="0.3">
      <c r="A17" s="152"/>
      <c r="B17" s="82"/>
      <c r="C17" s="58"/>
      <c r="D17" s="83" t="s">
        <v>438</v>
      </c>
      <c r="E17" s="84"/>
      <c r="F17" s="85"/>
      <c r="G17" s="308">
        <v>72525</v>
      </c>
      <c r="H17" s="309">
        <v>72525</v>
      </c>
      <c r="I17" s="309">
        <v>72525</v>
      </c>
      <c r="J17" s="310">
        <f t="shared" ref="J17:J28" si="2">+I17/H17*100</f>
        <v>100</v>
      </c>
      <c r="K17" s="24"/>
      <c r="L17" s="51"/>
      <c r="M17" s="43"/>
      <c r="N17" s="39"/>
      <c r="O17" s="38"/>
    </row>
    <row r="18" spans="1:16" ht="19.5" customHeight="1" x14ac:dyDescent="0.3">
      <c r="A18" s="152"/>
      <c r="B18" s="82"/>
      <c r="C18" s="58"/>
      <c r="D18" s="90" t="s">
        <v>500</v>
      </c>
      <c r="E18" s="84"/>
      <c r="F18" s="85"/>
      <c r="G18" s="308"/>
      <c r="H18" s="309">
        <v>7317</v>
      </c>
      <c r="I18" s="309">
        <v>7317</v>
      </c>
      <c r="J18" s="310">
        <f t="shared" si="2"/>
        <v>100</v>
      </c>
      <c r="K18" s="24"/>
      <c r="L18" s="51"/>
      <c r="M18" s="43"/>
      <c r="N18" s="39"/>
      <c r="O18" s="39"/>
    </row>
    <row r="19" spans="1:16" ht="19.5" customHeight="1" x14ac:dyDescent="0.3">
      <c r="A19" s="152"/>
      <c r="B19" s="82"/>
      <c r="C19" s="58"/>
      <c r="D19" s="91" t="s">
        <v>310</v>
      </c>
      <c r="E19" s="92"/>
      <c r="F19" s="93"/>
      <c r="G19" s="308"/>
      <c r="H19" s="309">
        <v>232047</v>
      </c>
      <c r="I19" s="309">
        <v>232047</v>
      </c>
      <c r="J19" s="313">
        <f t="shared" si="2"/>
        <v>100</v>
      </c>
      <c r="K19" s="24"/>
      <c r="L19" s="51"/>
      <c r="M19" s="43"/>
      <c r="N19" s="39"/>
      <c r="O19" s="39"/>
    </row>
    <row r="20" spans="1:16" s="4" customFormat="1" ht="19.5" customHeight="1" x14ac:dyDescent="0.3">
      <c r="A20" s="98"/>
      <c r="B20" s="94"/>
      <c r="C20" s="78" t="s">
        <v>465</v>
      </c>
      <c r="D20" s="95"/>
      <c r="E20" s="96"/>
      <c r="F20" s="97"/>
      <c r="G20" s="315">
        <f>SUM(G17:G19)</f>
        <v>72525</v>
      </c>
      <c r="H20" s="315">
        <f>SUM(H17:H19)</f>
        <v>311889</v>
      </c>
      <c r="I20" s="315">
        <f>SUM(I17:I19)</f>
        <v>311889</v>
      </c>
      <c r="J20" s="306">
        <f t="shared" si="2"/>
        <v>100</v>
      </c>
      <c r="K20" s="24"/>
      <c r="L20" s="51"/>
      <c r="M20" s="43"/>
      <c r="N20" s="44"/>
      <c r="O20" s="44"/>
      <c r="P20" s="41"/>
    </row>
    <row r="21" spans="1:16" s="4" customFormat="1" ht="19.5" customHeight="1" x14ac:dyDescent="0.3">
      <c r="A21" s="98"/>
      <c r="B21" s="94"/>
      <c r="C21" s="80" t="s">
        <v>518</v>
      </c>
      <c r="D21" s="98"/>
      <c r="E21" s="99"/>
      <c r="F21" s="100"/>
      <c r="G21" s="316"/>
      <c r="H21" s="316"/>
      <c r="I21" s="316"/>
      <c r="J21" s="317"/>
      <c r="K21" s="24"/>
      <c r="L21" s="51"/>
      <c r="M21" s="43"/>
      <c r="N21" s="44"/>
      <c r="O21" s="44"/>
      <c r="P21" s="41"/>
    </row>
    <row r="22" spans="1:16" ht="19.5" customHeight="1" x14ac:dyDescent="0.3">
      <c r="A22" s="152"/>
      <c r="B22" s="82"/>
      <c r="C22" s="58"/>
      <c r="D22" s="84" t="s">
        <v>437</v>
      </c>
      <c r="E22" s="84"/>
      <c r="F22" s="85"/>
      <c r="G22" s="311">
        <v>255350</v>
      </c>
      <c r="H22" s="312">
        <v>255350</v>
      </c>
      <c r="I22" s="312">
        <v>255350</v>
      </c>
      <c r="J22" s="313">
        <f t="shared" si="2"/>
        <v>100</v>
      </c>
      <c r="K22" s="24"/>
      <c r="L22" s="51"/>
      <c r="M22" s="43"/>
      <c r="N22" s="39"/>
      <c r="O22" s="38"/>
    </row>
    <row r="23" spans="1:16" ht="37.5" customHeight="1" x14ac:dyDescent="0.3">
      <c r="A23" s="152"/>
      <c r="B23" s="82"/>
      <c r="C23" s="58"/>
      <c r="D23" s="1989" t="s">
        <v>223</v>
      </c>
      <c r="E23" s="1989"/>
      <c r="F23" s="2007"/>
      <c r="G23" s="318">
        <v>150760</v>
      </c>
      <c r="H23" s="309">
        <v>150760</v>
      </c>
      <c r="I23" s="309">
        <v>150760</v>
      </c>
      <c r="J23" s="310">
        <f t="shared" si="2"/>
        <v>100</v>
      </c>
      <c r="K23" s="24"/>
      <c r="L23" s="51"/>
      <c r="M23" s="43"/>
      <c r="N23" s="39"/>
      <c r="O23" s="38"/>
    </row>
    <row r="24" spans="1:16" ht="37.5" customHeight="1" x14ac:dyDescent="0.3">
      <c r="A24" s="152"/>
      <c r="B24" s="82"/>
      <c r="C24" s="58"/>
      <c r="D24" s="1989" t="s">
        <v>464</v>
      </c>
      <c r="E24" s="1989"/>
      <c r="F24" s="2007"/>
      <c r="G24" s="318">
        <v>150000</v>
      </c>
      <c r="H24" s="309">
        <v>150000</v>
      </c>
      <c r="I24" s="309">
        <v>150000</v>
      </c>
      <c r="J24" s="310">
        <f t="shared" si="2"/>
        <v>100</v>
      </c>
      <c r="K24" s="24"/>
      <c r="L24" s="51"/>
      <c r="M24" s="43"/>
      <c r="N24" s="39"/>
      <c r="O24" s="38"/>
    </row>
    <row r="25" spans="1:16" s="4" customFormat="1" ht="19.5" customHeight="1" x14ac:dyDescent="0.3">
      <c r="A25" s="98"/>
      <c r="B25" s="94"/>
      <c r="C25" s="80" t="s">
        <v>519</v>
      </c>
      <c r="D25" s="98"/>
      <c r="E25" s="99"/>
      <c r="F25" s="100"/>
      <c r="G25" s="316">
        <f>SUM(G22:G24)</f>
        <v>556110</v>
      </c>
      <c r="H25" s="316">
        <f t="shared" ref="H25:I25" si="3">SUM(H22:H24)</f>
        <v>556110</v>
      </c>
      <c r="I25" s="316">
        <f t="shared" si="3"/>
        <v>556110</v>
      </c>
      <c r="J25" s="317">
        <f t="shared" si="2"/>
        <v>100</v>
      </c>
      <c r="K25" s="24"/>
      <c r="L25" s="51"/>
      <c r="M25" s="43"/>
      <c r="N25" s="44"/>
      <c r="O25" s="44"/>
      <c r="P25" s="41"/>
    </row>
    <row r="26" spans="1:16" s="14" customFormat="1" ht="19.5" customHeight="1" x14ac:dyDescent="0.3">
      <c r="A26" s="151"/>
      <c r="B26" s="75"/>
      <c r="C26" s="78" t="s">
        <v>137</v>
      </c>
      <c r="D26" s="78"/>
      <c r="E26" s="78"/>
      <c r="F26" s="79"/>
      <c r="G26" s="303"/>
      <c r="H26" s="304"/>
      <c r="I26" s="304"/>
      <c r="J26" s="306"/>
      <c r="K26" s="24"/>
      <c r="L26" s="51"/>
      <c r="M26" s="43"/>
      <c r="N26" s="39"/>
      <c r="O26" s="39"/>
      <c r="P26" s="37"/>
    </row>
    <row r="27" spans="1:16" ht="37.5" customHeight="1" x14ac:dyDescent="0.3">
      <c r="A27" s="152"/>
      <c r="B27" s="82"/>
      <c r="C27" s="58"/>
      <c r="D27" s="1989" t="s">
        <v>564</v>
      </c>
      <c r="E27" s="1989"/>
      <c r="F27" s="2007"/>
      <c r="G27" s="318"/>
      <c r="H27" s="309">
        <v>46640</v>
      </c>
      <c r="I27" s="309">
        <v>46640</v>
      </c>
      <c r="J27" s="310">
        <f t="shared" si="2"/>
        <v>100</v>
      </c>
      <c r="K27" s="24"/>
      <c r="L27" s="51"/>
      <c r="M27" s="43"/>
      <c r="N27" s="39"/>
      <c r="O27" s="38"/>
    </row>
    <row r="28" spans="1:16" ht="19.5" customHeight="1" x14ac:dyDescent="0.3">
      <c r="A28" s="152"/>
      <c r="B28" s="82"/>
      <c r="C28" s="58"/>
      <c r="D28" s="92" t="s">
        <v>346</v>
      </c>
      <c r="E28" s="101"/>
      <c r="F28" s="102"/>
      <c r="G28" s="319"/>
      <c r="H28" s="320">
        <v>147643</v>
      </c>
      <c r="I28" s="319">
        <v>147643</v>
      </c>
      <c r="J28" s="310">
        <f t="shared" si="2"/>
        <v>100</v>
      </c>
      <c r="K28" s="24"/>
      <c r="L28" s="51"/>
      <c r="M28" s="43"/>
      <c r="N28" s="39"/>
      <c r="O28" s="39"/>
    </row>
    <row r="29" spans="1:16" s="14" customFormat="1" ht="19.5" customHeight="1" thickBot="1" x14ac:dyDescent="0.35">
      <c r="A29" s="151"/>
      <c r="B29" s="75"/>
      <c r="C29" s="78" t="s">
        <v>283</v>
      </c>
      <c r="D29" s="78"/>
      <c r="E29" s="78"/>
      <c r="F29" s="79"/>
      <c r="G29" s="303">
        <f>SUM(G27:G28)</f>
        <v>0</v>
      </c>
      <c r="H29" s="303">
        <f>SUM(H27:H28)</f>
        <v>194283</v>
      </c>
      <c r="I29" s="303">
        <f>SUM(I27:I28)</f>
        <v>194283</v>
      </c>
      <c r="J29" s="422">
        <f t="shared" ref="J29:J30" si="4">+I29/H29*100</f>
        <v>100</v>
      </c>
      <c r="K29" s="24"/>
      <c r="L29" s="51"/>
      <c r="M29" s="43"/>
      <c r="N29" s="39"/>
      <c r="O29" s="39"/>
      <c r="P29" s="37"/>
    </row>
    <row r="30" spans="1:16" s="4" customFormat="1" ht="19.5" customHeight="1" thickBot="1" x14ac:dyDescent="0.35">
      <c r="A30" s="98"/>
      <c r="B30" s="94" t="s">
        <v>284</v>
      </c>
      <c r="C30" s="104" t="s">
        <v>110</v>
      </c>
      <c r="D30" s="104"/>
      <c r="E30" s="104"/>
      <c r="F30" s="105"/>
      <c r="G30" s="325">
        <f>+G15+G20+G29+G25</f>
        <v>6393671</v>
      </c>
      <c r="H30" s="325">
        <f>+H15+H20+H29+H25</f>
        <v>6897884</v>
      </c>
      <c r="I30" s="325">
        <f>+I15+I20+I29+I25</f>
        <v>6897884</v>
      </c>
      <c r="J30" s="402">
        <f t="shared" si="4"/>
        <v>100</v>
      </c>
      <c r="K30" s="2"/>
      <c r="L30" s="51"/>
      <c r="M30" s="43"/>
      <c r="N30" s="44"/>
      <c r="O30" s="43"/>
      <c r="P30" s="41"/>
    </row>
    <row r="31" spans="1:16" ht="19.5" customHeight="1" thickBot="1" x14ac:dyDescent="0.35">
      <c r="A31" s="152"/>
      <c r="B31" s="82"/>
      <c r="C31" s="106" t="s">
        <v>286</v>
      </c>
      <c r="D31" s="107"/>
      <c r="E31" s="107"/>
      <c r="F31" s="108"/>
      <c r="G31" s="327"/>
      <c r="H31" s="328"/>
      <c r="I31" s="329"/>
      <c r="J31" s="330"/>
      <c r="L31" s="51"/>
      <c r="M31" s="43"/>
      <c r="N31" s="39"/>
      <c r="O31" s="38"/>
    </row>
    <row r="32" spans="1:16" s="4" customFormat="1" ht="19.5" customHeight="1" thickBot="1" x14ac:dyDescent="0.35">
      <c r="A32" s="98"/>
      <c r="B32" s="94" t="s">
        <v>285</v>
      </c>
      <c r="C32" s="109" t="s">
        <v>122</v>
      </c>
      <c r="D32" s="72"/>
      <c r="E32" s="72"/>
      <c r="F32" s="105"/>
      <c r="G32" s="331">
        <f>SUM(G31)</f>
        <v>0</v>
      </c>
      <c r="H32" s="332">
        <f t="shared" ref="H32:I32" si="5">SUM(H31)</f>
        <v>0</v>
      </c>
      <c r="I32" s="331">
        <f t="shared" si="5"/>
        <v>0</v>
      </c>
      <c r="J32" s="326"/>
      <c r="K32" s="2"/>
      <c r="L32" s="51"/>
      <c r="M32" s="43"/>
      <c r="N32" s="44"/>
      <c r="O32" s="43"/>
      <c r="P32" s="41"/>
    </row>
    <row r="33" spans="1:15" ht="19.5" customHeight="1" x14ac:dyDescent="0.3">
      <c r="A33" s="152"/>
      <c r="B33" s="110"/>
      <c r="C33" s="111"/>
      <c r="D33" s="112" t="s">
        <v>41</v>
      </c>
      <c r="E33" s="112"/>
      <c r="F33" s="113"/>
      <c r="G33" s="333"/>
      <c r="H33" s="333">
        <v>9299</v>
      </c>
      <c r="I33" s="334">
        <v>9299</v>
      </c>
      <c r="J33" s="335">
        <f>+I33/H33*100</f>
        <v>100</v>
      </c>
      <c r="L33" s="51"/>
      <c r="M33" s="43"/>
      <c r="N33" s="39"/>
      <c r="O33" s="39"/>
    </row>
    <row r="34" spans="1:15" ht="19.5" customHeight="1" x14ac:dyDescent="0.3">
      <c r="A34" s="152"/>
      <c r="B34" s="82"/>
      <c r="C34" s="80"/>
      <c r="D34" s="90" t="s">
        <v>341</v>
      </c>
      <c r="E34" s="90"/>
      <c r="F34" s="114"/>
      <c r="G34" s="308"/>
      <c r="H34" s="308">
        <v>4268</v>
      </c>
      <c r="I34" s="309">
        <v>4268</v>
      </c>
      <c r="J34" s="336">
        <f t="shared" ref="J34:J40" si="6">+I34/H34*100</f>
        <v>100</v>
      </c>
      <c r="L34" s="51"/>
      <c r="M34" s="43"/>
      <c r="N34" s="39"/>
      <c r="O34" s="39"/>
    </row>
    <row r="35" spans="1:15" ht="19.5" customHeight="1" x14ac:dyDescent="0.3">
      <c r="A35" s="152"/>
      <c r="B35" s="82"/>
      <c r="C35" s="58"/>
      <c r="D35" s="117" t="s">
        <v>501</v>
      </c>
      <c r="E35" s="115"/>
      <c r="F35" s="116"/>
      <c r="G35" s="321"/>
      <c r="H35" s="321">
        <v>0</v>
      </c>
      <c r="I35" s="322"/>
      <c r="J35" s="336"/>
      <c r="L35" s="51"/>
      <c r="M35" s="43"/>
      <c r="N35" s="39"/>
      <c r="O35" s="39"/>
    </row>
    <row r="36" spans="1:15" ht="19.5" customHeight="1" x14ac:dyDescent="0.3">
      <c r="A36" s="152"/>
      <c r="B36" s="82"/>
      <c r="C36" s="80"/>
      <c r="D36" s="118" t="s">
        <v>378</v>
      </c>
      <c r="E36" s="119"/>
      <c r="F36" s="116"/>
      <c r="G36" s="311"/>
      <c r="H36" s="311"/>
      <c r="I36" s="312">
        <v>40</v>
      </c>
      <c r="J36" s="336"/>
      <c r="L36" s="51"/>
      <c r="M36" s="43"/>
      <c r="N36" s="39"/>
      <c r="O36" s="39"/>
    </row>
    <row r="37" spans="1:15" ht="19.5" customHeight="1" x14ac:dyDescent="0.3">
      <c r="A37" s="152"/>
      <c r="B37" s="82"/>
      <c r="C37" s="80"/>
      <c r="D37" s="118" t="s">
        <v>414</v>
      </c>
      <c r="E37" s="119"/>
      <c r="F37" s="116"/>
      <c r="G37" s="311"/>
      <c r="H37" s="311">
        <v>7987</v>
      </c>
      <c r="I37" s="309">
        <v>7987</v>
      </c>
      <c r="J37" s="336">
        <f t="shared" si="6"/>
        <v>100</v>
      </c>
      <c r="L37" s="51"/>
      <c r="M37" s="43"/>
      <c r="N37" s="39"/>
      <c r="O37" s="39"/>
    </row>
    <row r="38" spans="1:15" ht="19.5" customHeight="1" x14ac:dyDescent="0.3">
      <c r="A38" s="152"/>
      <c r="B38" s="82"/>
      <c r="C38" s="80"/>
      <c r="D38" s="83" t="s">
        <v>411</v>
      </c>
      <c r="E38" s="119"/>
      <c r="F38" s="116"/>
      <c r="G38" s="311">
        <v>302075</v>
      </c>
      <c r="H38" s="311">
        <v>302075</v>
      </c>
      <c r="I38" s="309">
        <v>302075</v>
      </c>
      <c r="J38" s="336">
        <f t="shared" si="6"/>
        <v>100</v>
      </c>
      <c r="L38" s="51"/>
      <c r="M38" s="43"/>
      <c r="N38" s="39"/>
      <c r="O38" s="39"/>
    </row>
    <row r="39" spans="1:15" ht="19.5" customHeight="1" x14ac:dyDescent="0.3">
      <c r="A39" s="152"/>
      <c r="B39" s="82"/>
      <c r="C39" s="80"/>
      <c r="D39" s="83" t="s">
        <v>412</v>
      </c>
      <c r="E39" s="119"/>
      <c r="F39" s="116"/>
      <c r="G39" s="311">
        <v>53000</v>
      </c>
      <c r="H39" s="311">
        <v>53000</v>
      </c>
      <c r="I39" s="309">
        <v>53000</v>
      </c>
      <c r="J39" s="336">
        <f t="shared" si="6"/>
        <v>100</v>
      </c>
      <c r="L39" s="51"/>
      <c r="M39" s="43"/>
      <c r="N39" s="39"/>
      <c r="O39" s="39"/>
    </row>
    <row r="40" spans="1:15" ht="19.5" customHeight="1" x14ac:dyDescent="0.3">
      <c r="A40" s="152"/>
      <c r="B40" s="82"/>
      <c r="C40" s="80"/>
      <c r="D40" s="83" t="s">
        <v>419</v>
      </c>
      <c r="E40" s="119"/>
      <c r="F40" s="116"/>
      <c r="G40" s="311"/>
      <c r="H40" s="311">
        <v>1000</v>
      </c>
      <c r="I40" s="309">
        <v>1000</v>
      </c>
      <c r="J40" s="336">
        <f t="shared" si="6"/>
        <v>100</v>
      </c>
      <c r="L40" s="51"/>
      <c r="M40" s="43"/>
      <c r="N40" s="39"/>
      <c r="O40" s="39"/>
    </row>
    <row r="41" spans="1:15" ht="19.5" customHeight="1" x14ac:dyDescent="0.3">
      <c r="A41" s="152"/>
      <c r="B41" s="82"/>
      <c r="C41" s="80"/>
      <c r="D41" s="120" t="s">
        <v>491</v>
      </c>
      <c r="E41" s="119"/>
      <c r="F41" s="116"/>
      <c r="G41" s="311"/>
      <c r="H41" s="311">
        <v>0</v>
      </c>
      <c r="I41" s="312"/>
      <c r="J41" s="336"/>
      <c r="L41" s="51"/>
      <c r="M41" s="43"/>
      <c r="N41" s="39"/>
      <c r="O41" s="39"/>
    </row>
    <row r="42" spans="1:15" ht="19.5" customHeight="1" x14ac:dyDescent="0.3">
      <c r="A42" s="152"/>
      <c r="B42" s="82"/>
      <c r="C42" s="80"/>
      <c r="D42" s="120" t="s">
        <v>643</v>
      </c>
      <c r="E42" s="119"/>
      <c r="F42" s="116"/>
      <c r="G42" s="311"/>
      <c r="H42" s="311">
        <v>31750</v>
      </c>
      <c r="I42" s="312">
        <v>31750</v>
      </c>
      <c r="J42" s="336">
        <f t="shared" ref="J42:J44" si="7">+I42/H42*100</f>
        <v>100</v>
      </c>
      <c r="L42" s="51"/>
      <c r="M42" s="43"/>
      <c r="N42" s="39"/>
      <c r="O42" s="39"/>
    </row>
    <row r="43" spans="1:15" ht="19.5" customHeight="1" thickBot="1" x14ac:dyDescent="0.35">
      <c r="A43" s="152"/>
      <c r="B43" s="94" t="s">
        <v>287</v>
      </c>
      <c r="C43" s="1999" t="s">
        <v>121</v>
      </c>
      <c r="D43" s="1999"/>
      <c r="E43" s="1999"/>
      <c r="F43" s="2000"/>
      <c r="G43" s="337">
        <f>SUM(G33:G42)</f>
        <v>355075</v>
      </c>
      <c r="H43" s="338">
        <f>SUM(H33:H42)</f>
        <v>409379</v>
      </c>
      <c r="I43" s="337">
        <f>SUM(I33:I42)</f>
        <v>409419</v>
      </c>
      <c r="J43" s="317">
        <f t="shared" si="7"/>
        <v>100.00977089689505</v>
      </c>
      <c r="L43" s="51"/>
      <c r="M43" s="43"/>
      <c r="N43" s="39"/>
      <c r="O43" s="39"/>
    </row>
    <row r="44" spans="1:15" ht="19.5" customHeight="1" thickBot="1" x14ac:dyDescent="0.35">
      <c r="A44" s="152"/>
      <c r="B44" s="121" t="s">
        <v>347</v>
      </c>
      <c r="C44" s="122"/>
      <c r="D44" s="104"/>
      <c r="E44" s="104"/>
      <c r="F44" s="105"/>
      <c r="G44" s="339">
        <f>+G30+G32+G43</f>
        <v>6748746</v>
      </c>
      <c r="H44" s="339">
        <f>+H30+H32+H43</f>
        <v>7307263</v>
      </c>
      <c r="I44" s="339">
        <f>+I30+I32+I43</f>
        <v>7307303</v>
      </c>
      <c r="J44" s="279">
        <f t="shared" si="7"/>
        <v>100.00054740057939</v>
      </c>
      <c r="L44" s="51"/>
      <c r="M44" s="43"/>
      <c r="N44" s="39"/>
      <c r="O44" s="38"/>
    </row>
    <row r="45" spans="1:15" ht="19.5" customHeight="1" x14ac:dyDescent="0.3">
      <c r="A45" s="152"/>
      <c r="B45" s="71" t="s">
        <v>258</v>
      </c>
      <c r="C45" s="72"/>
      <c r="D45" s="123"/>
      <c r="E45" s="123"/>
      <c r="F45" s="73"/>
      <c r="G45" s="340"/>
      <c r="H45" s="341"/>
      <c r="I45" s="340"/>
      <c r="J45" s="290"/>
      <c r="L45" s="51"/>
      <c r="M45" s="43"/>
      <c r="N45" s="39"/>
      <c r="O45" s="38"/>
    </row>
    <row r="46" spans="1:15" ht="19.5" customHeight="1" x14ac:dyDescent="0.3">
      <c r="A46" s="152"/>
      <c r="B46" s="124"/>
      <c r="C46" s="80" t="s">
        <v>111</v>
      </c>
      <c r="D46" s="57"/>
      <c r="E46" s="57"/>
      <c r="F46" s="125"/>
      <c r="G46" s="342"/>
      <c r="H46" s="343"/>
      <c r="I46" s="342"/>
      <c r="J46" s="344"/>
      <c r="L46" s="51"/>
      <c r="M46" s="43"/>
      <c r="N46" s="39"/>
      <c r="O46" s="38"/>
    </row>
    <row r="47" spans="1:15" ht="19.5" customHeight="1" x14ac:dyDescent="0.3">
      <c r="A47" s="152"/>
      <c r="B47" s="82"/>
      <c r="C47" s="58"/>
      <c r="D47" s="84" t="s">
        <v>502</v>
      </c>
      <c r="E47" s="84"/>
      <c r="F47" s="85"/>
      <c r="G47" s="345"/>
      <c r="H47" s="345">
        <v>868</v>
      </c>
      <c r="I47" s="345">
        <v>868</v>
      </c>
      <c r="J47" s="346">
        <f>+I47/H47*100</f>
        <v>100</v>
      </c>
      <c r="L47" s="51"/>
      <c r="M47" s="43"/>
      <c r="N47" s="39"/>
      <c r="O47" s="39"/>
    </row>
    <row r="48" spans="1:15" ht="19.5" customHeight="1" x14ac:dyDescent="0.3">
      <c r="A48" s="152"/>
      <c r="B48" s="124"/>
      <c r="C48" s="80" t="s">
        <v>112</v>
      </c>
      <c r="D48" s="57"/>
      <c r="E48" s="57"/>
      <c r="F48" s="125"/>
      <c r="G48" s="342"/>
      <c r="H48" s="342"/>
      <c r="I48" s="342"/>
      <c r="J48" s="344"/>
      <c r="L48" s="51"/>
      <c r="M48" s="43"/>
      <c r="N48" s="39"/>
      <c r="O48" s="39"/>
    </row>
    <row r="49" spans="1:15" ht="19.5" customHeight="1" x14ac:dyDescent="0.3">
      <c r="A49" s="152"/>
      <c r="B49" s="82"/>
      <c r="C49" s="58"/>
      <c r="D49" s="84" t="s">
        <v>32</v>
      </c>
      <c r="E49" s="84"/>
      <c r="F49" s="85"/>
      <c r="G49" s="345">
        <v>1234000</v>
      </c>
      <c r="H49" s="345">
        <v>1246310</v>
      </c>
      <c r="I49" s="345">
        <v>1243408</v>
      </c>
      <c r="J49" s="346">
        <f>+I49/H49*100</f>
        <v>99.767152634577272</v>
      </c>
      <c r="L49" s="51"/>
      <c r="M49" s="56"/>
      <c r="N49" s="39"/>
      <c r="O49" s="38"/>
    </row>
    <row r="50" spans="1:15" ht="19.5" customHeight="1" x14ac:dyDescent="0.3">
      <c r="A50" s="152"/>
      <c r="B50" s="124"/>
      <c r="C50" s="80" t="s">
        <v>113</v>
      </c>
      <c r="D50" s="57"/>
      <c r="E50" s="57"/>
      <c r="F50" s="125"/>
      <c r="G50" s="342"/>
      <c r="H50" s="342"/>
      <c r="I50" s="342"/>
      <c r="J50" s="347"/>
      <c r="L50" s="51"/>
      <c r="M50" s="56"/>
      <c r="N50" s="39"/>
      <c r="O50" s="38"/>
    </row>
    <row r="51" spans="1:15" ht="19.5" customHeight="1" x14ac:dyDescent="0.3">
      <c r="A51" s="152"/>
      <c r="B51" s="82"/>
      <c r="C51" s="80"/>
      <c r="D51" s="126" t="s">
        <v>13</v>
      </c>
      <c r="E51" s="127"/>
      <c r="F51" s="128"/>
      <c r="G51" s="312">
        <v>8200000</v>
      </c>
      <c r="H51" s="312">
        <v>9263231</v>
      </c>
      <c r="I51" s="312">
        <v>9262134</v>
      </c>
      <c r="J51" s="310">
        <f>+I51/H51*100</f>
        <v>99.988157479825347</v>
      </c>
      <c r="L51" s="51"/>
      <c r="M51" s="56"/>
      <c r="N51" s="39"/>
      <c r="O51" s="38"/>
    </row>
    <row r="52" spans="1:15" ht="19.5" customHeight="1" x14ac:dyDescent="0.3">
      <c r="A52" s="152"/>
      <c r="B52" s="82"/>
      <c r="C52" s="80"/>
      <c r="D52" s="126" t="s">
        <v>45</v>
      </c>
      <c r="E52" s="126"/>
      <c r="F52" s="128"/>
      <c r="G52" s="312">
        <v>15000</v>
      </c>
      <c r="H52" s="312">
        <v>33724</v>
      </c>
      <c r="I52" s="312">
        <v>34643</v>
      </c>
      <c r="J52" s="310">
        <f>+I52/H52*100</f>
        <v>102.72506227019333</v>
      </c>
      <c r="L52" s="51"/>
      <c r="M52" s="56"/>
      <c r="N52" s="39"/>
      <c r="O52" s="39"/>
    </row>
    <row r="53" spans="1:15" ht="19.5" customHeight="1" x14ac:dyDescent="0.3">
      <c r="A53" s="152"/>
      <c r="B53" s="124"/>
      <c r="C53" s="80" t="s">
        <v>114</v>
      </c>
      <c r="D53" s="57"/>
      <c r="E53" s="57"/>
      <c r="F53" s="125"/>
      <c r="G53" s="342"/>
      <c r="H53" s="342"/>
      <c r="I53" s="342"/>
      <c r="J53" s="347"/>
      <c r="L53" s="51"/>
      <c r="M53" s="56"/>
      <c r="N53" s="39"/>
      <c r="O53" s="39"/>
    </row>
    <row r="54" spans="1:15" ht="19.5" customHeight="1" x14ac:dyDescent="0.3">
      <c r="A54" s="152"/>
      <c r="B54" s="82"/>
      <c r="C54" s="80"/>
      <c r="D54" s="126" t="s">
        <v>217</v>
      </c>
      <c r="E54" s="126"/>
      <c r="F54" s="128"/>
      <c r="G54" s="312">
        <v>10000</v>
      </c>
      <c r="H54" s="312">
        <v>16518</v>
      </c>
      <c r="I54" s="312">
        <v>16518</v>
      </c>
      <c r="J54" s="310">
        <f t="shared" ref="J54:J57" si="8">+I54/H54*100</f>
        <v>100</v>
      </c>
      <c r="L54" s="51"/>
      <c r="M54" s="56"/>
      <c r="N54" s="39"/>
      <c r="O54" s="39"/>
    </row>
    <row r="55" spans="1:15" ht="19.5" customHeight="1" x14ac:dyDescent="0.3">
      <c r="A55" s="152"/>
      <c r="B55" s="82"/>
      <c r="C55" s="80"/>
      <c r="D55" s="126" t="s">
        <v>55</v>
      </c>
      <c r="E55" s="127"/>
      <c r="F55" s="128"/>
      <c r="G55" s="312">
        <v>1000</v>
      </c>
      <c r="H55" s="312">
        <v>1134</v>
      </c>
      <c r="I55" s="312">
        <v>1134</v>
      </c>
      <c r="J55" s="310">
        <f t="shared" si="8"/>
        <v>100</v>
      </c>
      <c r="L55" s="51"/>
      <c r="M55" s="56"/>
      <c r="N55" s="39"/>
      <c r="O55" s="39"/>
    </row>
    <row r="56" spans="1:15" ht="19.5" customHeight="1" x14ac:dyDescent="0.3">
      <c r="A56" s="152"/>
      <c r="B56" s="82"/>
      <c r="C56" s="58"/>
      <c r="D56" s="84" t="s">
        <v>25</v>
      </c>
      <c r="E56" s="84"/>
      <c r="F56" s="128"/>
      <c r="G56" s="312"/>
      <c r="H56" s="312">
        <v>3450</v>
      </c>
      <c r="I56" s="312">
        <v>3450</v>
      </c>
      <c r="J56" s="310">
        <f t="shared" si="8"/>
        <v>100</v>
      </c>
      <c r="L56" s="51"/>
      <c r="M56" s="56"/>
      <c r="N56" s="39"/>
      <c r="O56" s="39"/>
    </row>
    <row r="57" spans="1:15" ht="19.5" customHeight="1" thickBot="1" x14ac:dyDescent="0.35">
      <c r="A57" s="152"/>
      <c r="B57" s="129" t="s">
        <v>259</v>
      </c>
      <c r="C57" s="109"/>
      <c r="D57" s="68"/>
      <c r="E57" s="68"/>
      <c r="F57" s="130"/>
      <c r="G57" s="348">
        <f>SUM(G47:G56)</f>
        <v>9460000</v>
      </c>
      <c r="H57" s="348">
        <f>SUM(H47:H56)</f>
        <v>10565235</v>
      </c>
      <c r="I57" s="348">
        <f>SUM(I47:I56)</f>
        <v>10562155</v>
      </c>
      <c r="J57" s="287">
        <f t="shared" si="8"/>
        <v>99.970847785212541</v>
      </c>
      <c r="L57" s="51"/>
      <c r="M57" s="43"/>
      <c r="N57" s="39"/>
      <c r="O57" s="39"/>
    </row>
    <row r="58" spans="1:15" ht="19.5" customHeight="1" x14ac:dyDescent="0.3">
      <c r="A58" s="152"/>
      <c r="B58" s="94" t="s">
        <v>268</v>
      </c>
      <c r="C58" s="131"/>
      <c r="D58" s="131"/>
      <c r="E58" s="131"/>
      <c r="F58" s="131"/>
      <c r="G58" s="293"/>
      <c r="H58" s="293"/>
      <c r="I58" s="349"/>
      <c r="J58" s="350"/>
      <c r="L58" s="51"/>
      <c r="M58" s="43"/>
      <c r="N58" s="39"/>
      <c r="O58" s="39"/>
    </row>
    <row r="59" spans="1:15" ht="19.5" customHeight="1" x14ac:dyDescent="0.3">
      <c r="A59" s="152"/>
      <c r="B59" s="82"/>
      <c r="C59" s="80"/>
      <c r="D59" s="126" t="s">
        <v>236</v>
      </c>
      <c r="E59" s="126"/>
      <c r="F59" s="128"/>
      <c r="G59" s="312"/>
      <c r="H59" s="312">
        <v>906</v>
      </c>
      <c r="I59" s="312">
        <v>906</v>
      </c>
      <c r="J59" s="313">
        <f t="shared" ref="J59:J72" si="9">+I59/H59*100</f>
        <v>100</v>
      </c>
      <c r="L59" s="51"/>
      <c r="M59" s="43"/>
      <c r="N59" s="39"/>
      <c r="O59" s="38"/>
    </row>
    <row r="60" spans="1:15" ht="19.5" customHeight="1" x14ac:dyDescent="0.3">
      <c r="A60" s="152"/>
      <c r="B60" s="82"/>
      <c r="C60" s="80"/>
      <c r="D60" s="132" t="s">
        <v>61</v>
      </c>
      <c r="E60" s="133"/>
      <c r="F60" s="134"/>
      <c r="G60" s="322"/>
      <c r="H60" s="322"/>
      <c r="I60" s="549">
        <v>486</v>
      </c>
      <c r="J60" s="310"/>
      <c r="L60" s="51"/>
      <c r="M60" s="43"/>
      <c r="N60" s="39"/>
      <c r="O60" s="38"/>
    </row>
    <row r="61" spans="1:15" ht="19.5" customHeight="1" x14ac:dyDescent="0.3">
      <c r="A61" s="152"/>
      <c r="B61" s="82"/>
      <c r="C61" s="80"/>
      <c r="D61" s="126" t="s">
        <v>249</v>
      </c>
      <c r="E61" s="126"/>
      <c r="F61" s="128"/>
      <c r="G61" s="312">
        <v>10215</v>
      </c>
      <c r="H61" s="312">
        <v>11810</v>
      </c>
      <c r="I61" s="312">
        <v>11810</v>
      </c>
      <c r="J61" s="310">
        <f t="shared" si="9"/>
        <v>100</v>
      </c>
      <c r="L61" s="51"/>
      <c r="M61" s="43"/>
      <c r="N61" s="39"/>
      <c r="O61" s="38"/>
    </row>
    <row r="62" spans="1:15" ht="19.5" customHeight="1" x14ac:dyDescent="0.3">
      <c r="A62" s="152"/>
      <c r="B62" s="82"/>
      <c r="C62" s="80"/>
      <c r="D62" s="132" t="s">
        <v>556</v>
      </c>
      <c r="E62" s="132"/>
      <c r="F62" s="134"/>
      <c r="G62" s="322"/>
      <c r="H62" s="322"/>
      <c r="I62" s="322">
        <v>82</v>
      </c>
      <c r="J62" s="310"/>
      <c r="L62" s="51"/>
      <c r="M62" s="43"/>
      <c r="N62" s="39"/>
      <c r="O62" s="38"/>
    </row>
    <row r="63" spans="1:15" ht="37.5" customHeight="1" x14ac:dyDescent="0.3">
      <c r="A63" s="152"/>
      <c r="B63" s="82"/>
      <c r="C63" s="80"/>
      <c r="D63" s="1997" t="s">
        <v>565</v>
      </c>
      <c r="E63" s="1997"/>
      <c r="F63" s="1998"/>
      <c r="G63" s="322"/>
      <c r="H63" s="322">
        <v>576</v>
      </c>
      <c r="I63" s="322">
        <v>576</v>
      </c>
      <c r="J63" s="310">
        <f t="shared" si="9"/>
        <v>100</v>
      </c>
      <c r="L63" s="51"/>
      <c r="M63" s="43"/>
      <c r="N63" s="39"/>
      <c r="O63" s="38"/>
    </row>
    <row r="64" spans="1:15" ht="19.5" customHeight="1" x14ac:dyDescent="0.3">
      <c r="A64" s="152"/>
      <c r="B64" s="82"/>
      <c r="C64" s="80"/>
      <c r="D64" s="132" t="s">
        <v>231</v>
      </c>
      <c r="E64" s="133"/>
      <c r="F64" s="134"/>
      <c r="G64" s="322"/>
      <c r="H64" s="322">
        <v>14316</v>
      </c>
      <c r="I64" s="322">
        <v>14316</v>
      </c>
      <c r="J64" s="310">
        <f t="shared" si="9"/>
        <v>100</v>
      </c>
      <c r="L64" s="51"/>
      <c r="M64" s="43"/>
      <c r="N64" s="39"/>
      <c r="O64" s="38"/>
    </row>
    <row r="65" spans="1:15" ht="19.5" customHeight="1" x14ac:dyDescent="0.3">
      <c r="A65" s="152"/>
      <c r="B65" s="82"/>
      <c r="C65" s="80"/>
      <c r="D65" s="126" t="s">
        <v>520</v>
      </c>
      <c r="E65" s="126"/>
      <c r="F65" s="128"/>
      <c r="G65" s="312">
        <v>37404</v>
      </c>
      <c r="H65" s="312">
        <v>37404</v>
      </c>
      <c r="I65" s="312">
        <v>37404</v>
      </c>
      <c r="J65" s="310">
        <f t="shared" si="9"/>
        <v>100</v>
      </c>
      <c r="L65" s="51"/>
      <c r="M65" s="43"/>
      <c r="N65" s="39"/>
      <c r="O65" s="38"/>
    </row>
    <row r="66" spans="1:15" ht="19.5" customHeight="1" x14ac:dyDescent="0.3">
      <c r="A66" s="152"/>
      <c r="B66" s="82"/>
      <c r="C66" s="80"/>
      <c r="D66" s="126" t="s">
        <v>418</v>
      </c>
      <c r="E66" s="126"/>
      <c r="F66" s="128"/>
      <c r="G66" s="312"/>
      <c r="H66" s="312">
        <v>14852</v>
      </c>
      <c r="I66" s="312">
        <v>14852</v>
      </c>
      <c r="J66" s="310">
        <f t="shared" si="9"/>
        <v>100</v>
      </c>
      <c r="L66" s="51"/>
      <c r="M66" s="43"/>
      <c r="N66" s="39"/>
      <c r="O66" s="38"/>
    </row>
    <row r="67" spans="1:15" ht="19.5" customHeight="1" x14ac:dyDescent="0.3">
      <c r="A67" s="152"/>
      <c r="B67" s="82"/>
      <c r="C67" s="80"/>
      <c r="D67" s="126" t="s">
        <v>476</v>
      </c>
      <c r="E67" s="126"/>
      <c r="F67" s="128"/>
      <c r="G67" s="312"/>
      <c r="H67" s="312">
        <v>2289</v>
      </c>
      <c r="I67" s="312">
        <v>2289</v>
      </c>
      <c r="J67" s="310">
        <f t="shared" si="9"/>
        <v>100</v>
      </c>
      <c r="L67" s="51"/>
      <c r="M67" s="43"/>
      <c r="N67" s="39"/>
      <c r="O67" s="38"/>
    </row>
    <row r="68" spans="1:15" ht="19.5" customHeight="1" x14ac:dyDescent="0.3">
      <c r="A68" s="152"/>
      <c r="B68" s="82"/>
      <c r="C68" s="80"/>
      <c r="D68" s="126" t="s">
        <v>237</v>
      </c>
      <c r="E68" s="126"/>
      <c r="F68" s="128"/>
      <c r="G68" s="312">
        <v>515000</v>
      </c>
      <c r="H68" s="312">
        <v>580100</v>
      </c>
      <c r="I68" s="312">
        <v>580100</v>
      </c>
      <c r="J68" s="310">
        <f t="shared" si="9"/>
        <v>100</v>
      </c>
      <c r="L68" s="51"/>
      <c r="M68" s="43"/>
      <c r="N68" s="39"/>
      <c r="O68" s="38"/>
    </row>
    <row r="69" spans="1:15" ht="19.5" customHeight="1" x14ac:dyDescent="0.3">
      <c r="A69" s="152"/>
      <c r="B69" s="82"/>
      <c r="C69" s="80"/>
      <c r="D69" s="126" t="s">
        <v>280</v>
      </c>
      <c r="E69" s="126"/>
      <c r="F69" s="128"/>
      <c r="G69" s="312">
        <v>9000</v>
      </c>
      <c r="H69" s="312">
        <v>7567</v>
      </c>
      <c r="I69" s="312">
        <v>7081</v>
      </c>
      <c r="J69" s="310">
        <f t="shared" si="9"/>
        <v>93.577375446015594</v>
      </c>
      <c r="L69" s="51"/>
      <c r="M69" s="43"/>
      <c r="N69" s="39"/>
      <c r="O69" s="38"/>
    </row>
    <row r="70" spans="1:15" ht="19.5" customHeight="1" x14ac:dyDescent="0.3">
      <c r="A70" s="152"/>
      <c r="B70" s="82"/>
      <c r="C70" s="80"/>
      <c r="D70" s="132" t="s">
        <v>71</v>
      </c>
      <c r="E70" s="133"/>
      <c r="F70" s="134"/>
      <c r="G70" s="322">
        <v>2700</v>
      </c>
      <c r="H70" s="322">
        <v>2652</v>
      </c>
      <c r="I70" s="322">
        <v>2652</v>
      </c>
      <c r="J70" s="310">
        <f t="shared" si="9"/>
        <v>100</v>
      </c>
      <c r="L70" s="51"/>
      <c r="M70" s="43"/>
      <c r="N70" s="39"/>
      <c r="O70" s="38"/>
    </row>
    <row r="71" spans="1:15" ht="19.5" customHeight="1" x14ac:dyDescent="0.3">
      <c r="A71" s="152"/>
      <c r="B71" s="82"/>
      <c r="C71" s="80"/>
      <c r="D71" s="126" t="s">
        <v>70</v>
      </c>
      <c r="E71" s="126"/>
      <c r="F71" s="128"/>
      <c r="G71" s="312">
        <v>700000</v>
      </c>
      <c r="H71" s="312">
        <v>700000</v>
      </c>
      <c r="I71" s="312">
        <v>761743</v>
      </c>
      <c r="J71" s="310">
        <f t="shared" si="9"/>
        <v>108.82042857142858</v>
      </c>
      <c r="L71" s="51"/>
      <c r="M71" s="43"/>
      <c r="N71" s="39"/>
      <c r="O71" s="38"/>
    </row>
    <row r="72" spans="1:15" ht="19.5" customHeight="1" x14ac:dyDescent="0.3">
      <c r="A72" s="152"/>
      <c r="B72" s="82"/>
      <c r="C72" s="80"/>
      <c r="D72" s="120" t="s">
        <v>37</v>
      </c>
      <c r="E72" s="119"/>
      <c r="F72" s="116"/>
      <c r="G72" s="311">
        <v>43165</v>
      </c>
      <c r="H72" s="311">
        <v>24462</v>
      </c>
      <c r="I72" s="312">
        <f>2857+21605</f>
        <v>24462</v>
      </c>
      <c r="J72" s="336">
        <f t="shared" si="9"/>
        <v>100</v>
      </c>
      <c r="L72" s="51"/>
      <c r="M72" s="43"/>
      <c r="N72" s="39"/>
      <c r="O72" s="39"/>
    </row>
    <row r="73" spans="1:15" ht="19.5" customHeight="1" x14ac:dyDescent="0.3">
      <c r="A73" s="152"/>
      <c r="B73" s="82"/>
      <c r="C73" s="80"/>
      <c r="D73" s="126" t="s">
        <v>62</v>
      </c>
      <c r="E73" s="126"/>
      <c r="F73" s="128"/>
      <c r="G73" s="312">
        <v>17000</v>
      </c>
      <c r="H73" s="312">
        <v>22863</v>
      </c>
      <c r="I73" s="312">
        <v>22863</v>
      </c>
      <c r="J73" s="310">
        <f t="shared" ref="J73:J81" si="10">+I73/H73*100</f>
        <v>100</v>
      </c>
      <c r="L73" s="51"/>
      <c r="M73" s="43"/>
      <c r="N73" s="39"/>
      <c r="O73" s="38"/>
    </row>
    <row r="74" spans="1:15" ht="19.5" customHeight="1" x14ac:dyDescent="0.3">
      <c r="A74" s="152"/>
      <c r="B74" s="82"/>
      <c r="C74" s="80"/>
      <c r="D74" s="132" t="s">
        <v>557</v>
      </c>
      <c r="E74" s="132"/>
      <c r="F74" s="134"/>
      <c r="G74" s="322"/>
      <c r="H74" s="322">
        <v>95</v>
      </c>
      <c r="I74" s="549">
        <v>95</v>
      </c>
      <c r="J74" s="310">
        <f t="shared" si="10"/>
        <v>100</v>
      </c>
      <c r="L74" s="51"/>
      <c r="M74" s="43"/>
      <c r="N74" s="39"/>
      <c r="O74" s="38"/>
    </row>
    <row r="75" spans="1:15" ht="19.5" customHeight="1" x14ac:dyDescent="0.3">
      <c r="A75" s="152"/>
      <c r="B75" s="82"/>
      <c r="C75" s="80"/>
      <c r="D75" s="132" t="s">
        <v>219</v>
      </c>
      <c r="E75" s="132"/>
      <c r="F75" s="134"/>
      <c r="G75" s="322"/>
      <c r="H75" s="322">
        <v>260446</v>
      </c>
      <c r="I75" s="322">
        <v>260446</v>
      </c>
      <c r="J75" s="310">
        <f t="shared" si="10"/>
        <v>100</v>
      </c>
      <c r="L75" s="51"/>
      <c r="M75" s="43"/>
      <c r="N75" s="39"/>
      <c r="O75" s="39"/>
    </row>
    <row r="76" spans="1:15" ht="19.5" customHeight="1" x14ac:dyDescent="0.3">
      <c r="A76" s="152"/>
      <c r="B76" s="82"/>
      <c r="C76" s="80"/>
      <c r="D76" s="132" t="s">
        <v>600</v>
      </c>
      <c r="E76" s="132"/>
      <c r="F76" s="134"/>
      <c r="G76" s="322"/>
      <c r="H76" s="322">
        <v>27</v>
      </c>
      <c r="I76" s="322">
        <v>27</v>
      </c>
      <c r="J76" s="310">
        <f t="shared" si="10"/>
        <v>100</v>
      </c>
      <c r="L76" s="51"/>
      <c r="M76" s="43"/>
      <c r="N76" s="39"/>
      <c r="O76" s="38"/>
    </row>
    <row r="77" spans="1:15" ht="19.5" customHeight="1" x14ac:dyDescent="0.3">
      <c r="A77" s="152"/>
      <c r="B77" s="82"/>
      <c r="C77" s="80"/>
      <c r="D77" s="132" t="s">
        <v>157</v>
      </c>
      <c r="E77" s="132"/>
      <c r="F77" s="134"/>
      <c r="G77" s="322"/>
      <c r="H77" s="322">
        <v>24</v>
      </c>
      <c r="I77" s="322">
        <v>24</v>
      </c>
      <c r="J77" s="310">
        <f t="shared" si="10"/>
        <v>100</v>
      </c>
      <c r="L77" s="51"/>
      <c r="M77" s="43"/>
      <c r="N77" s="39"/>
      <c r="O77" s="39"/>
    </row>
    <row r="78" spans="1:15" ht="19.5" customHeight="1" x14ac:dyDescent="0.3">
      <c r="A78" s="152"/>
      <c r="B78" s="82"/>
      <c r="C78" s="80"/>
      <c r="D78" s="136" t="s">
        <v>230</v>
      </c>
      <c r="E78" s="132"/>
      <c r="F78" s="134"/>
      <c r="G78" s="322">
        <v>1700</v>
      </c>
      <c r="H78" s="322">
        <v>1461</v>
      </c>
      <c r="I78" s="322">
        <v>1461</v>
      </c>
      <c r="J78" s="310">
        <f t="shared" si="10"/>
        <v>100</v>
      </c>
      <c r="L78" s="51"/>
      <c r="M78" s="43"/>
      <c r="N78" s="39"/>
      <c r="O78" s="38"/>
    </row>
    <row r="79" spans="1:15" ht="19.5" customHeight="1" x14ac:dyDescent="0.3">
      <c r="A79" s="152"/>
      <c r="B79" s="82"/>
      <c r="C79" s="80"/>
      <c r="D79" s="117" t="s">
        <v>609</v>
      </c>
      <c r="E79" s="132"/>
      <c r="F79" s="134"/>
      <c r="G79" s="322"/>
      <c r="H79" s="322">
        <v>3782</v>
      </c>
      <c r="I79" s="322">
        <v>3782</v>
      </c>
      <c r="J79" s="310">
        <f t="shared" si="10"/>
        <v>100</v>
      </c>
      <c r="L79" s="51"/>
      <c r="M79" s="43"/>
      <c r="N79" s="39"/>
      <c r="O79" s="38"/>
    </row>
    <row r="80" spans="1:15" ht="19.5" customHeight="1" x14ac:dyDescent="0.3">
      <c r="A80" s="152"/>
      <c r="B80" s="82"/>
      <c r="C80" s="80"/>
      <c r="D80" s="136" t="s">
        <v>566</v>
      </c>
      <c r="E80" s="132"/>
      <c r="F80" s="134"/>
      <c r="G80" s="322"/>
      <c r="H80" s="322">
        <v>7230</v>
      </c>
      <c r="I80" s="549">
        <v>7230</v>
      </c>
      <c r="J80" s="310">
        <f t="shared" si="10"/>
        <v>100</v>
      </c>
      <c r="L80" s="51"/>
      <c r="M80" s="43"/>
      <c r="N80" s="39"/>
      <c r="O80" s="38"/>
    </row>
    <row r="81" spans="1:15" ht="19.5" customHeight="1" x14ac:dyDescent="0.3">
      <c r="A81" s="152"/>
      <c r="B81" s="82"/>
      <c r="C81" s="80"/>
      <c r="D81" s="126" t="s">
        <v>638</v>
      </c>
      <c r="E81" s="126"/>
      <c r="F81" s="134"/>
      <c r="G81" s="322"/>
      <c r="H81" s="322">
        <v>750</v>
      </c>
      <c r="I81" s="549">
        <v>750</v>
      </c>
      <c r="J81" s="310">
        <f t="shared" si="10"/>
        <v>100</v>
      </c>
      <c r="L81" s="51"/>
      <c r="M81" s="43"/>
      <c r="N81" s="39"/>
      <c r="O81" s="38"/>
    </row>
    <row r="82" spans="1:15" ht="19.5" customHeight="1" x14ac:dyDescent="0.3">
      <c r="A82" s="152"/>
      <c r="B82" s="124"/>
      <c r="C82" s="80" t="s">
        <v>123</v>
      </c>
      <c r="D82" s="57"/>
      <c r="E82" s="57"/>
      <c r="F82" s="128"/>
      <c r="G82" s="312"/>
      <c r="H82" s="312"/>
      <c r="I82" s="312"/>
      <c r="J82" s="313"/>
      <c r="L82" s="51"/>
      <c r="M82" s="43"/>
      <c r="N82" s="39"/>
      <c r="O82" s="38"/>
    </row>
    <row r="83" spans="1:15" ht="19.5" customHeight="1" x14ac:dyDescent="0.3">
      <c r="A83" s="152"/>
      <c r="B83" s="82"/>
      <c r="C83" s="80"/>
      <c r="D83" s="128" t="s">
        <v>238</v>
      </c>
      <c r="E83" s="126"/>
      <c r="F83" s="128"/>
      <c r="G83" s="312">
        <v>52271</v>
      </c>
      <c r="H83" s="312">
        <v>52271</v>
      </c>
      <c r="I83" s="320"/>
      <c r="J83" s="313">
        <f t="shared" ref="J83:J90" si="11">+I83/H83*100</f>
        <v>0</v>
      </c>
      <c r="L83" s="51"/>
      <c r="M83" s="43"/>
      <c r="N83" s="39"/>
      <c r="O83" s="38"/>
    </row>
    <row r="84" spans="1:15" ht="19.5" customHeight="1" x14ac:dyDescent="0.3">
      <c r="A84" s="152"/>
      <c r="B84" s="82"/>
      <c r="C84" s="80"/>
      <c r="D84" s="128" t="s">
        <v>26</v>
      </c>
      <c r="E84" s="126"/>
      <c r="F84" s="128"/>
      <c r="G84" s="312">
        <v>250000</v>
      </c>
      <c r="H84" s="312">
        <v>250000</v>
      </c>
      <c r="I84" s="312">
        <f>448659-92-1</f>
        <v>448566</v>
      </c>
      <c r="J84" s="310">
        <f t="shared" si="11"/>
        <v>179.4264</v>
      </c>
      <c r="L84" s="51"/>
      <c r="M84" s="43"/>
      <c r="N84" s="39"/>
      <c r="O84" s="39"/>
    </row>
    <row r="85" spans="1:15" ht="19.5" customHeight="1" x14ac:dyDescent="0.3">
      <c r="A85" s="152"/>
      <c r="B85" s="82"/>
      <c r="C85" s="80"/>
      <c r="D85" s="126" t="s">
        <v>151</v>
      </c>
      <c r="E85" s="126"/>
      <c r="F85" s="128"/>
      <c r="G85" s="312">
        <v>20000</v>
      </c>
      <c r="H85" s="312">
        <v>33438</v>
      </c>
      <c r="I85" s="312"/>
      <c r="J85" s="310">
        <f t="shared" si="11"/>
        <v>0</v>
      </c>
      <c r="L85" s="51"/>
      <c r="M85" s="43"/>
      <c r="N85" s="39"/>
      <c r="O85" s="38"/>
    </row>
    <row r="86" spans="1:15" ht="19.5" customHeight="1" x14ac:dyDescent="0.3">
      <c r="A86" s="152"/>
      <c r="B86" s="82"/>
      <c r="C86" s="80"/>
      <c r="D86" s="126" t="s">
        <v>610</v>
      </c>
      <c r="E86" s="126"/>
      <c r="F86" s="128"/>
      <c r="G86" s="312"/>
      <c r="H86" s="312">
        <v>18216</v>
      </c>
      <c r="I86" s="312"/>
      <c r="J86" s="310">
        <f t="shared" si="11"/>
        <v>0</v>
      </c>
      <c r="L86" s="51"/>
      <c r="M86" s="43"/>
      <c r="N86" s="39"/>
      <c r="O86" s="38"/>
    </row>
    <row r="87" spans="1:15" ht="19.5" customHeight="1" x14ac:dyDescent="0.3">
      <c r="A87" s="152"/>
      <c r="B87" s="82"/>
      <c r="C87" s="80"/>
      <c r="D87" s="84" t="s">
        <v>51</v>
      </c>
      <c r="E87" s="126"/>
      <c r="F87" s="128"/>
      <c r="G87" s="312"/>
      <c r="H87" s="312">
        <v>357199</v>
      </c>
      <c r="I87" s="312"/>
      <c r="J87" s="310">
        <f t="shared" si="11"/>
        <v>0</v>
      </c>
      <c r="L87" s="51"/>
      <c r="M87" s="43"/>
      <c r="N87" s="39"/>
      <c r="O87" s="39"/>
    </row>
    <row r="88" spans="1:15" ht="19.5" customHeight="1" x14ac:dyDescent="0.3">
      <c r="A88" s="152"/>
      <c r="B88" s="124"/>
      <c r="C88" s="80" t="s">
        <v>124</v>
      </c>
      <c r="D88" s="137"/>
      <c r="E88" s="137"/>
      <c r="F88" s="138"/>
      <c r="G88" s="351"/>
      <c r="H88" s="351"/>
      <c r="I88" s="351"/>
      <c r="J88" s="336"/>
      <c r="L88" s="51"/>
      <c r="M88" s="43"/>
      <c r="N88" s="39"/>
      <c r="O88" s="39"/>
    </row>
    <row r="89" spans="1:15" ht="19.5" customHeight="1" x14ac:dyDescent="0.3">
      <c r="A89" s="152"/>
      <c r="B89" s="82"/>
      <c r="C89" s="58"/>
      <c r="D89" s="1992" t="s">
        <v>250</v>
      </c>
      <c r="E89" s="1992"/>
      <c r="F89" s="1993"/>
      <c r="G89" s="309">
        <v>25000</v>
      </c>
      <c r="H89" s="309">
        <v>676069</v>
      </c>
      <c r="I89" s="309">
        <v>676069</v>
      </c>
      <c r="J89" s="336">
        <f t="shared" si="11"/>
        <v>100</v>
      </c>
      <c r="L89" s="51"/>
      <c r="M89" s="43"/>
      <c r="N89" s="39"/>
      <c r="O89" s="38"/>
    </row>
    <row r="90" spans="1:15" ht="19.5" customHeight="1" x14ac:dyDescent="0.3">
      <c r="A90" s="152"/>
      <c r="B90" s="82"/>
      <c r="C90" s="58"/>
      <c r="D90" s="84" t="s">
        <v>588</v>
      </c>
      <c r="E90" s="84"/>
      <c r="F90" s="128"/>
      <c r="G90" s="309"/>
      <c r="H90" s="318">
        <v>5556</v>
      </c>
      <c r="I90" s="309">
        <v>5556</v>
      </c>
      <c r="J90" s="336">
        <f t="shared" si="11"/>
        <v>100</v>
      </c>
      <c r="L90" s="51"/>
      <c r="M90" s="43"/>
      <c r="N90" s="39"/>
      <c r="O90" s="38"/>
    </row>
    <row r="91" spans="1:15" ht="19.5" customHeight="1" thickBot="1" x14ac:dyDescent="0.35">
      <c r="A91" s="152"/>
      <c r="B91" s="139" t="s">
        <v>265</v>
      </c>
      <c r="C91" s="103"/>
      <c r="D91" s="103"/>
      <c r="E91" s="103"/>
      <c r="F91" s="103"/>
      <c r="G91" s="323">
        <f>SUM(G59:G90)</f>
        <v>1683455</v>
      </c>
      <c r="H91" s="323">
        <f>SUM(H59:H90)</f>
        <v>3086361</v>
      </c>
      <c r="I91" s="323">
        <f>SUM(I59:I90)</f>
        <v>2885628</v>
      </c>
      <c r="J91" s="324">
        <f>+I91/H91*100</f>
        <v>93.496126992273417</v>
      </c>
      <c r="L91" s="51"/>
      <c r="M91" s="43"/>
    </row>
    <row r="92" spans="1:15" ht="19.5" customHeight="1" x14ac:dyDescent="0.3">
      <c r="A92" s="152"/>
      <c r="B92" s="94" t="s">
        <v>257</v>
      </c>
      <c r="C92" s="140"/>
      <c r="D92" s="140"/>
      <c r="E92" s="140"/>
      <c r="F92" s="140"/>
      <c r="G92" s="338"/>
      <c r="H92" s="320"/>
      <c r="I92" s="338"/>
      <c r="J92" s="352"/>
      <c r="L92" s="51"/>
      <c r="M92" s="43"/>
      <c r="N92" s="36"/>
    </row>
    <row r="93" spans="1:15" ht="33.75" customHeight="1" x14ac:dyDescent="0.3">
      <c r="A93" s="152"/>
      <c r="B93" s="94"/>
      <c r="C93" s="1995" t="s">
        <v>119</v>
      </c>
      <c r="D93" s="1995"/>
      <c r="E93" s="1995"/>
      <c r="F93" s="1996"/>
      <c r="G93" s="301"/>
      <c r="H93" s="301"/>
      <c r="I93" s="301"/>
      <c r="J93" s="302"/>
      <c r="L93" s="51"/>
      <c r="M93" s="43"/>
    </row>
    <row r="94" spans="1:15" ht="19.5" customHeight="1" x14ac:dyDescent="0.3">
      <c r="A94" s="152"/>
      <c r="B94" s="124"/>
      <c r="C94" s="101"/>
      <c r="D94" s="1994" t="s">
        <v>439</v>
      </c>
      <c r="E94" s="1992"/>
      <c r="F94" s="1993"/>
      <c r="G94" s="353"/>
      <c r="H94" s="353">
        <v>20000</v>
      </c>
      <c r="I94" s="353"/>
      <c r="J94" s="313">
        <f>+I94/H94*100</f>
        <v>0</v>
      </c>
      <c r="L94" s="51"/>
      <c r="M94" s="43"/>
    </row>
    <row r="95" spans="1:15" ht="19.5" customHeight="1" x14ac:dyDescent="0.3">
      <c r="A95" s="152"/>
      <c r="B95" s="124"/>
      <c r="C95" s="101"/>
      <c r="D95" s="126" t="s">
        <v>555</v>
      </c>
      <c r="E95" s="84"/>
      <c r="F95" s="84"/>
      <c r="G95" s="345"/>
      <c r="H95" s="345">
        <v>24462</v>
      </c>
      <c r="I95" s="345">
        <v>24462</v>
      </c>
      <c r="J95" s="313">
        <f>+I95/H95*100</f>
        <v>100</v>
      </c>
      <c r="L95" s="51"/>
      <c r="M95" s="43"/>
    </row>
    <row r="96" spans="1:15" ht="19.5" customHeight="1" x14ac:dyDescent="0.3">
      <c r="A96" s="152"/>
      <c r="B96" s="124"/>
      <c r="C96" s="101"/>
      <c r="D96" s="126" t="s">
        <v>611</v>
      </c>
      <c r="E96" s="84"/>
      <c r="F96" s="84"/>
      <c r="G96" s="345"/>
      <c r="H96" s="345">
        <v>50000</v>
      </c>
      <c r="I96" s="345"/>
      <c r="J96" s="313">
        <f t="shared" ref="J96:J97" si="12">+I96/H96*100</f>
        <v>0</v>
      </c>
      <c r="L96" s="51"/>
      <c r="M96" s="43"/>
    </row>
    <row r="97" spans="1:17" ht="19.5" customHeight="1" x14ac:dyDescent="0.3">
      <c r="A97" s="152"/>
      <c r="B97" s="124"/>
      <c r="C97" s="101"/>
      <c r="D97" s="126" t="s">
        <v>612</v>
      </c>
      <c r="E97" s="126"/>
      <c r="F97" s="84"/>
      <c r="G97" s="345"/>
      <c r="H97" s="345">
        <v>45000</v>
      </c>
      <c r="I97" s="345"/>
      <c r="J97" s="313">
        <f t="shared" si="12"/>
        <v>0</v>
      </c>
      <c r="L97" s="51"/>
      <c r="M97" s="43"/>
    </row>
    <row r="98" spans="1:17" ht="19.5" customHeight="1" x14ac:dyDescent="0.3">
      <c r="A98" s="152"/>
      <c r="B98" s="124"/>
      <c r="C98" s="101"/>
      <c r="D98" s="136" t="s">
        <v>641</v>
      </c>
      <c r="E98" s="84"/>
      <c r="F98" s="345"/>
      <c r="G98" s="345"/>
      <c r="H98" s="345"/>
      <c r="I98" s="314">
        <v>1000</v>
      </c>
      <c r="J98" s="313"/>
      <c r="L98" s="51"/>
      <c r="M98" s="43"/>
    </row>
    <row r="99" spans="1:17" ht="19.5" customHeight="1" x14ac:dyDescent="0.3">
      <c r="A99" s="152"/>
      <c r="B99" s="94"/>
      <c r="C99" s="140" t="s">
        <v>120</v>
      </c>
      <c r="D99" s="140"/>
      <c r="E99" s="140"/>
      <c r="F99" s="140"/>
      <c r="G99" s="338"/>
      <c r="H99" s="338"/>
      <c r="I99" s="338"/>
      <c r="J99" s="313"/>
      <c r="L99" s="51"/>
      <c r="M99" s="43"/>
    </row>
    <row r="100" spans="1:17" ht="19.5" customHeight="1" x14ac:dyDescent="0.3">
      <c r="A100" s="152"/>
      <c r="B100" s="124"/>
      <c r="C100" s="101"/>
      <c r="D100" s="142" t="s">
        <v>379</v>
      </c>
      <c r="E100" s="91"/>
      <c r="F100" s="84"/>
      <c r="G100" s="355"/>
      <c r="H100" s="345">
        <v>211</v>
      </c>
      <c r="I100" s="345">
        <v>211</v>
      </c>
      <c r="J100" s="313">
        <f t="shared" ref="J100:J109" si="13">+I100/H100*100</f>
        <v>100</v>
      </c>
      <c r="L100" s="51"/>
      <c r="M100" s="43"/>
    </row>
    <row r="101" spans="1:17" ht="19.5" customHeight="1" x14ac:dyDescent="0.3">
      <c r="A101" s="152"/>
      <c r="B101" s="124"/>
      <c r="C101" s="101"/>
      <c r="D101" s="101" t="s">
        <v>568</v>
      </c>
      <c r="E101" s="58"/>
      <c r="F101" s="84"/>
      <c r="G101" s="355"/>
      <c r="H101" s="345">
        <v>10247</v>
      </c>
      <c r="I101" s="345">
        <v>10247</v>
      </c>
      <c r="J101" s="313">
        <f t="shared" si="13"/>
        <v>100</v>
      </c>
      <c r="L101" s="51"/>
      <c r="M101" s="43"/>
    </row>
    <row r="102" spans="1:17" ht="19.5" customHeight="1" x14ac:dyDescent="0.3">
      <c r="A102" s="152"/>
      <c r="B102" s="124"/>
      <c r="C102" s="101"/>
      <c r="D102" s="101" t="s">
        <v>477</v>
      </c>
      <c r="E102" s="58"/>
      <c r="F102" s="84"/>
      <c r="G102" s="355"/>
      <c r="H102" s="345">
        <v>150</v>
      </c>
      <c r="I102" s="548">
        <v>150</v>
      </c>
      <c r="J102" s="313">
        <f t="shared" si="13"/>
        <v>100</v>
      </c>
      <c r="L102" s="51"/>
      <c r="M102" s="43"/>
    </row>
    <row r="103" spans="1:17" ht="19.5" customHeight="1" x14ac:dyDescent="0.3">
      <c r="A103" s="152"/>
      <c r="B103" s="124"/>
      <c r="C103" s="101"/>
      <c r="D103" s="101" t="s">
        <v>567</v>
      </c>
      <c r="E103" s="58"/>
      <c r="F103" s="84"/>
      <c r="G103" s="355"/>
      <c r="H103" s="345">
        <v>3096</v>
      </c>
      <c r="I103" s="345">
        <v>3096</v>
      </c>
      <c r="J103" s="313">
        <f t="shared" si="13"/>
        <v>100</v>
      </c>
      <c r="L103" s="51"/>
      <c r="M103" s="43"/>
    </row>
    <row r="104" spans="1:17" ht="19.5" customHeight="1" x14ac:dyDescent="0.3">
      <c r="A104" s="152"/>
      <c r="B104" s="124"/>
      <c r="C104" s="101"/>
      <c r="D104" s="142" t="s">
        <v>503</v>
      </c>
      <c r="E104" s="91"/>
      <c r="F104" s="84"/>
      <c r="G104" s="355"/>
      <c r="H104" s="345">
        <v>4512</v>
      </c>
      <c r="I104" s="345">
        <v>4512</v>
      </c>
      <c r="J104" s="313">
        <f t="shared" si="13"/>
        <v>100</v>
      </c>
      <c r="L104" s="51"/>
      <c r="M104" s="43"/>
    </row>
    <row r="105" spans="1:17" ht="19.5" customHeight="1" x14ac:dyDescent="0.3">
      <c r="A105" s="152"/>
      <c r="B105" s="124"/>
      <c r="C105" s="101"/>
      <c r="D105" s="136" t="s">
        <v>569</v>
      </c>
      <c r="E105" s="101"/>
      <c r="F105" s="84"/>
      <c r="G105" s="355"/>
      <c r="H105" s="345">
        <v>920</v>
      </c>
      <c r="I105" s="548">
        <v>920</v>
      </c>
      <c r="J105" s="313">
        <f t="shared" si="13"/>
        <v>100</v>
      </c>
      <c r="L105" s="51"/>
      <c r="M105" s="43"/>
    </row>
    <row r="106" spans="1:17" ht="19.5" customHeight="1" x14ac:dyDescent="0.3">
      <c r="A106" s="152"/>
      <c r="B106" s="124"/>
      <c r="C106" s="101"/>
      <c r="D106" s="126" t="s">
        <v>602</v>
      </c>
      <c r="E106" s="91"/>
      <c r="F106" s="84"/>
      <c r="G106" s="355"/>
      <c r="H106" s="345">
        <v>24000</v>
      </c>
      <c r="I106" s="345">
        <v>16391</v>
      </c>
      <c r="J106" s="313">
        <f t="shared" si="13"/>
        <v>68.295833333333334</v>
      </c>
      <c r="L106" s="51"/>
      <c r="M106" s="43"/>
    </row>
    <row r="107" spans="1:17" ht="19.5" customHeight="1" x14ac:dyDescent="0.3">
      <c r="A107" s="152"/>
      <c r="B107" s="124"/>
      <c r="C107" s="101"/>
      <c r="D107" s="91" t="s">
        <v>632</v>
      </c>
      <c r="E107" s="126"/>
      <c r="F107" s="91"/>
      <c r="G107" s="356"/>
      <c r="H107" s="355">
        <v>7800</v>
      </c>
      <c r="I107" s="345">
        <v>7800</v>
      </c>
      <c r="J107" s="313">
        <f t="shared" si="13"/>
        <v>100</v>
      </c>
      <c r="K107" s="255"/>
      <c r="L107" s="3"/>
      <c r="M107" s="51"/>
      <c r="N107" s="43"/>
      <c r="Q107" s="33"/>
    </row>
    <row r="108" spans="1:17" ht="19.5" customHeight="1" x14ac:dyDescent="0.3">
      <c r="A108" s="152"/>
      <c r="B108" s="124"/>
      <c r="C108" s="101"/>
      <c r="D108" s="92" t="s">
        <v>599</v>
      </c>
      <c r="E108" s="58"/>
      <c r="F108" s="84"/>
      <c r="G108" s="355"/>
      <c r="H108" s="345">
        <v>1700</v>
      </c>
      <c r="I108" s="345">
        <v>1700</v>
      </c>
      <c r="J108" s="313">
        <f t="shared" si="13"/>
        <v>100</v>
      </c>
      <c r="L108" s="51"/>
      <c r="M108" s="43"/>
    </row>
    <row r="109" spans="1:17" ht="19.5" customHeight="1" thickBot="1" x14ac:dyDescent="0.35">
      <c r="A109" s="152"/>
      <c r="B109" s="94" t="s">
        <v>288</v>
      </c>
      <c r="C109" s="103"/>
      <c r="D109" s="143"/>
      <c r="E109" s="143"/>
      <c r="F109" s="103"/>
      <c r="G109" s="357">
        <f>SUM(G94:G102)</f>
        <v>0</v>
      </c>
      <c r="H109" s="357">
        <f>SUM(H94:H108)</f>
        <v>192098</v>
      </c>
      <c r="I109" s="357">
        <f>SUM(I94:I108)</f>
        <v>70489</v>
      </c>
      <c r="J109" s="324">
        <f t="shared" si="13"/>
        <v>36.694291455402976</v>
      </c>
      <c r="L109" s="51"/>
      <c r="M109" s="43"/>
    </row>
    <row r="110" spans="1:17" ht="19.5" customHeight="1" x14ac:dyDescent="0.3">
      <c r="A110" s="152"/>
      <c r="B110" s="71" t="s">
        <v>115</v>
      </c>
      <c r="C110" s="64"/>
      <c r="D110" s="64"/>
      <c r="E110" s="64"/>
      <c r="F110" s="144"/>
      <c r="G110" s="358"/>
      <c r="H110" s="358"/>
      <c r="I110" s="358"/>
      <c r="J110" s="359"/>
      <c r="L110" s="51"/>
      <c r="M110" s="43"/>
    </row>
    <row r="111" spans="1:17" s="4" customFormat="1" ht="19.5" customHeight="1" x14ac:dyDescent="0.3">
      <c r="A111" s="98"/>
      <c r="B111" s="146"/>
      <c r="C111" s="101" t="s">
        <v>82</v>
      </c>
      <c r="D111" s="131"/>
      <c r="E111" s="131"/>
      <c r="F111" s="98"/>
      <c r="G111" s="353">
        <v>11445</v>
      </c>
      <c r="H111" s="353">
        <v>28199</v>
      </c>
      <c r="I111" s="353">
        <v>28190</v>
      </c>
      <c r="J111" s="310">
        <f>+I111/H111*100</f>
        <v>99.96808397460903</v>
      </c>
      <c r="K111" s="2"/>
      <c r="L111" s="51"/>
      <c r="M111" s="43"/>
      <c r="N111" s="33"/>
      <c r="O111" s="33"/>
      <c r="P111" s="41"/>
    </row>
    <row r="112" spans="1:17" s="4" customFormat="1" ht="19.5" customHeight="1" x14ac:dyDescent="0.3">
      <c r="A112" s="98"/>
      <c r="B112" s="146"/>
      <c r="C112" s="91" t="s">
        <v>348</v>
      </c>
      <c r="D112" s="91"/>
      <c r="E112" s="147"/>
      <c r="F112" s="148"/>
      <c r="G112" s="353">
        <v>396402</v>
      </c>
      <c r="H112" s="353">
        <v>432826</v>
      </c>
      <c r="I112" s="353">
        <v>432824</v>
      </c>
      <c r="J112" s="310">
        <f t="shared" ref="J112:J121" si="14">+I112/H112*100</f>
        <v>99.999537920550068</v>
      </c>
      <c r="K112" s="2"/>
      <c r="L112" s="51"/>
      <c r="M112" s="43"/>
      <c r="N112" s="33"/>
      <c r="O112" s="33"/>
      <c r="P112" s="41"/>
    </row>
    <row r="113" spans="1:16" s="4" customFormat="1" ht="19.5" customHeight="1" x14ac:dyDescent="0.3">
      <c r="A113" s="98"/>
      <c r="B113" s="146"/>
      <c r="C113" s="91" t="s">
        <v>233</v>
      </c>
      <c r="D113" s="99"/>
      <c r="E113" s="147"/>
      <c r="F113" s="148"/>
      <c r="G113" s="353">
        <v>25400</v>
      </c>
      <c r="H113" s="353">
        <v>65629</v>
      </c>
      <c r="I113" s="353">
        <v>65629</v>
      </c>
      <c r="J113" s="310">
        <f t="shared" si="14"/>
        <v>100</v>
      </c>
      <c r="K113" s="2"/>
      <c r="L113" s="51"/>
      <c r="M113" s="43"/>
      <c r="N113" s="33"/>
      <c r="O113" s="33"/>
      <c r="P113" s="41"/>
    </row>
    <row r="114" spans="1:16" s="4" customFormat="1" ht="19.5" customHeight="1" x14ac:dyDescent="0.3">
      <c r="A114" s="98"/>
      <c r="B114" s="146"/>
      <c r="C114" s="91" t="s">
        <v>234</v>
      </c>
      <c r="D114" s="99"/>
      <c r="E114" s="147"/>
      <c r="F114" s="148"/>
      <c r="G114" s="353">
        <v>68788</v>
      </c>
      <c r="H114" s="353">
        <v>289303</v>
      </c>
      <c r="I114" s="353">
        <v>289303</v>
      </c>
      <c r="J114" s="310">
        <f t="shared" si="14"/>
        <v>100</v>
      </c>
      <c r="K114" s="2"/>
      <c r="L114" s="51"/>
      <c r="M114" s="43"/>
      <c r="N114" s="33"/>
      <c r="O114" s="33"/>
      <c r="P114" s="41"/>
    </row>
    <row r="115" spans="1:16" s="4" customFormat="1" ht="19.5" customHeight="1" x14ac:dyDescent="0.3">
      <c r="A115" s="98"/>
      <c r="B115" s="146"/>
      <c r="C115" s="91" t="s">
        <v>262</v>
      </c>
      <c r="D115" s="99"/>
      <c r="E115" s="147"/>
      <c r="F115" s="148"/>
      <c r="G115" s="353">
        <v>24000</v>
      </c>
      <c r="H115" s="353">
        <v>81933</v>
      </c>
      <c r="I115" s="353">
        <v>81933</v>
      </c>
      <c r="J115" s="310">
        <f t="shared" ref="J115" si="15">+I115/H115*100</f>
        <v>100</v>
      </c>
      <c r="K115" s="2"/>
      <c r="L115" s="51"/>
      <c r="M115" s="43"/>
      <c r="N115" s="33"/>
      <c r="O115" s="33"/>
      <c r="P115" s="41"/>
    </row>
    <row r="116" spans="1:16" s="4" customFormat="1" ht="19.5" customHeight="1" x14ac:dyDescent="0.3">
      <c r="A116" s="98"/>
      <c r="B116" s="146"/>
      <c r="C116" s="91" t="s">
        <v>261</v>
      </c>
      <c r="D116" s="99"/>
      <c r="E116" s="147"/>
      <c r="F116" s="148"/>
      <c r="G116" s="353">
        <v>189833</v>
      </c>
      <c r="H116" s="353">
        <v>356876</v>
      </c>
      <c r="I116" s="353">
        <v>356875</v>
      </c>
      <c r="J116" s="310">
        <f t="shared" si="14"/>
        <v>99.999719790627566</v>
      </c>
      <c r="K116" s="2"/>
      <c r="L116" s="51"/>
      <c r="M116" s="43"/>
      <c r="N116" s="33"/>
      <c r="O116" s="33"/>
      <c r="P116" s="41"/>
    </row>
    <row r="117" spans="1:16" s="4" customFormat="1" ht="19.5" customHeight="1" x14ac:dyDescent="0.3">
      <c r="A117" s="98"/>
      <c r="B117" s="146"/>
      <c r="C117" s="1989" t="s">
        <v>47</v>
      </c>
      <c r="D117" s="1990"/>
      <c r="E117" s="1990"/>
      <c r="F117" s="1991"/>
      <c r="G117" s="353">
        <v>107207</v>
      </c>
      <c r="H117" s="353">
        <v>149631</v>
      </c>
      <c r="I117" s="353">
        <v>149632</v>
      </c>
      <c r="J117" s="310">
        <f t="shared" si="14"/>
        <v>100.00066831071102</v>
      </c>
      <c r="K117" s="2"/>
      <c r="L117" s="51"/>
      <c r="M117" s="43"/>
      <c r="N117" s="33"/>
      <c r="O117" s="33"/>
      <c r="P117" s="41"/>
    </row>
    <row r="118" spans="1:16" s="4" customFormat="1" ht="19.5" customHeight="1" x14ac:dyDescent="0.3">
      <c r="A118" s="98"/>
      <c r="B118" s="146"/>
      <c r="C118" s="91" t="s">
        <v>282</v>
      </c>
      <c r="D118" s="147"/>
      <c r="E118" s="147"/>
      <c r="F118" s="148"/>
      <c r="G118" s="353">
        <v>689115</v>
      </c>
      <c r="H118" s="353">
        <v>722328</v>
      </c>
      <c r="I118" s="353">
        <v>722328</v>
      </c>
      <c r="J118" s="310">
        <f t="shared" si="14"/>
        <v>100</v>
      </c>
      <c r="K118" s="2"/>
      <c r="L118" s="51"/>
      <c r="M118" s="43"/>
      <c r="N118" s="33"/>
      <c r="O118" s="33"/>
      <c r="P118" s="41"/>
    </row>
    <row r="119" spans="1:16" s="4" customFormat="1" ht="19.5" customHeight="1" x14ac:dyDescent="0.3">
      <c r="A119" s="98"/>
      <c r="B119" s="146"/>
      <c r="C119" s="91" t="s">
        <v>67</v>
      </c>
      <c r="D119" s="147"/>
      <c r="E119" s="147"/>
      <c r="F119" s="148"/>
      <c r="G119" s="353">
        <v>61606</v>
      </c>
      <c r="H119" s="353">
        <v>84153</v>
      </c>
      <c r="I119" s="353">
        <v>84153</v>
      </c>
      <c r="J119" s="310">
        <f t="shared" si="14"/>
        <v>100</v>
      </c>
      <c r="K119" s="2"/>
      <c r="L119" s="51"/>
      <c r="M119" s="43"/>
      <c r="N119" s="33"/>
      <c r="O119" s="33"/>
      <c r="P119" s="41"/>
    </row>
    <row r="120" spans="1:16" s="4" customFormat="1" ht="19.5" customHeight="1" x14ac:dyDescent="0.3">
      <c r="A120" s="98"/>
      <c r="B120" s="146"/>
      <c r="C120" s="91" t="s">
        <v>68</v>
      </c>
      <c r="D120" s="147"/>
      <c r="E120" s="147"/>
      <c r="F120" s="148"/>
      <c r="G120" s="353">
        <v>146450</v>
      </c>
      <c r="H120" s="353">
        <v>153738</v>
      </c>
      <c r="I120" s="353">
        <v>153738</v>
      </c>
      <c r="J120" s="310">
        <f t="shared" si="14"/>
        <v>100</v>
      </c>
      <c r="K120" s="2"/>
      <c r="L120" s="51"/>
      <c r="M120" s="43"/>
      <c r="N120" s="33"/>
      <c r="O120" s="33"/>
      <c r="P120" s="41"/>
    </row>
    <row r="121" spans="1:16" s="4" customFormat="1" ht="19.5" customHeight="1" x14ac:dyDescent="0.3">
      <c r="A121" s="98"/>
      <c r="B121" s="146"/>
      <c r="C121" s="101" t="s">
        <v>46</v>
      </c>
      <c r="D121" s="131"/>
      <c r="E121" s="131"/>
      <c r="F121" s="98"/>
      <c r="G121" s="360">
        <v>16000</v>
      </c>
      <c r="H121" s="360">
        <v>72016</v>
      </c>
      <c r="I121" s="360">
        <v>71627</v>
      </c>
      <c r="J121" s="310">
        <f t="shared" si="14"/>
        <v>99.459842257276165</v>
      </c>
      <c r="K121" s="2"/>
      <c r="L121" s="51"/>
      <c r="M121" s="43"/>
      <c r="N121" s="41"/>
      <c r="O121" s="41"/>
      <c r="P121" s="41"/>
    </row>
    <row r="122" spans="1:16" ht="19.5" customHeight="1" thickBot="1" x14ac:dyDescent="0.35">
      <c r="A122" s="152"/>
      <c r="B122" s="139" t="s">
        <v>289</v>
      </c>
      <c r="C122" s="149"/>
      <c r="D122" s="103"/>
      <c r="E122" s="103"/>
      <c r="F122" s="103"/>
      <c r="G122" s="357">
        <f>SUM(G111:G121)</f>
        <v>1736246</v>
      </c>
      <c r="H122" s="357">
        <f>SUM(H111:H121)</f>
        <v>2436632</v>
      </c>
      <c r="I122" s="357">
        <f>SUM(I111:I121)</f>
        <v>2436232</v>
      </c>
      <c r="J122" s="324">
        <f>+I122/H122*100</f>
        <v>99.983583897773656</v>
      </c>
      <c r="L122" s="51"/>
      <c r="M122" s="43"/>
      <c r="N122" s="41"/>
      <c r="O122" s="41"/>
    </row>
    <row r="123" spans="1:16" ht="19.5" customHeight="1" thickBot="1" x14ac:dyDescent="0.35">
      <c r="A123" s="152"/>
      <c r="B123" s="139" t="s">
        <v>504</v>
      </c>
      <c r="C123" s="149"/>
      <c r="D123" s="103"/>
      <c r="E123" s="103"/>
      <c r="F123" s="103"/>
      <c r="G123" s="357">
        <f>+G44+G109+G91+G57+G122</f>
        <v>19628447</v>
      </c>
      <c r="H123" s="357">
        <f>+H44+H109+H91+H57+H122</f>
        <v>23587589</v>
      </c>
      <c r="I123" s="357">
        <f>+I44+I109+I91+I57+I122</f>
        <v>23261807</v>
      </c>
      <c r="J123" s="324">
        <f>+I123/H123*100</f>
        <v>98.61884145937934</v>
      </c>
      <c r="L123" s="51"/>
      <c r="M123" s="43"/>
      <c r="N123" s="41"/>
      <c r="O123" s="41"/>
    </row>
    <row r="124" spans="1:16" ht="21" customHeight="1" x14ac:dyDescent="0.3">
      <c r="M124" s="23"/>
      <c r="N124" s="41"/>
      <c r="O124" s="41"/>
    </row>
    <row r="125" spans="1:16" ht="21" customHeight="1" x14ac:dyDescent="0.3">
      <c r="I125" s="19"/>
      <c r="M125" s="23"/>
      <c r="N125" s="41"/>
      <c r="O125" s="41"/>
    </row>
    <row r="126" spans="1:16" ht="21" customHeight="1" x14ac:dyDescent="0.3">
      <c r="I126" s="19"/>
      <c r="M126" s="23"/>
      <c r="N126" s="41"/>
      <c r="O126" s="41"/>
    </row>
    <row r="127" spans="1:16" ht="21" customHeight="1" x14ac:dyDescent="0.3">
      <c r="I127" s="19"/>
      <c r="M127" s="23"/>
      <c r="N127" s="41"/>
      <c r="O127" s="41"/>
    </row>
    <row r="128" spans="1:16" ht="21" customHeight="1" x14ac:dyDescent="0.3">
      <c r="I128" s="19"/>
      <c r="M128" s="23"/>
      <c r="N128" s="41"/>
      <c r="O128" s="41"/>
    </row>
    <row r="129" spans="9:15" ht="21" customHeight="1" x14ac:dyDescent="0.3">
      <c r="I129" s="19"/>
      <c r="M129" s="23"/>
      <c r="N129" s="41"/>
      <c r="O129" s="41"/>
    </row>
    <row r="130" spans="9:15" ht="21" customHeight="1" x14ac:dyDescent="0.3">
      <c r="I130" s="19"/>
      <c r="M130" s="42"/>
      <c r="N130" s="40"/>
      <c r="O130" s="40"/>
    </row>
    <row r="131" spans="9:15" ht="21" customHeight="1" x14ac:dyDescent="0.3">
      <c r="I131" s="19"/>
      <c r="M131" s="23"/>
      <c r="N131" s="41"/>
      <c r="O131" s="41"/>
    </row>
    <row r="132" spans="9:15" ht="21" customHeight="1" x14ac:dyDescent="0.3">
      <c r="I132" s="19"/>
      <c r="M132" s="23"/>
      <c r="N132" s="41"/>
      <c r="O132" s="41"/>
    </row>
    <row r="135" spans="9:15" ht="21" customHeight="1" x14ac:dyDescent="0.3">
      <c r="I135" s="19"/>
    </row>
    <row r="136" spans="9:15" ht="21" customHeight="1" x14ac:dyDescent="0.3">
      <c r="I136" s="19"/>
    </row>
    <row r="137" spans="9:15" ht="21" customHeight="1" x14ac:dyDescent="0.3">
      <c r="I137" s="19"/>
    </row>
    <row r="138" spans="9:15" ht="21" customHeight="1" x14ac:dyDescent="0.3">
      <c r="I138" s="19"/>
    </row>
    <row r="139" spans="9:15" ht="21" customHeight="1" x14ac:dyDescent="0.3">
      <c r="I139" s="19"/>
    </row>
  </sheetData>
  <mergeCells count="13">
    <mergeCell ref="C43:F43"/>
    <mergeCell ref="B1:F1"/>
    <mergeCell ref="C10:F10"/>
    <mergeCell ref="G5:H5"/>
    <mergeCell ref="B2:J2"/>
    <mergeCell ref="D23:F23"/>
    <mergeCell ref="D24:F24"/>
    <mergeCell ref="D27:F27"/>
    <mergeCell ref="C117:F117"/>
    <mergeCell ref="D89:F89"/>
    <mergeCell ref="D94:F94"/>
    <mergeCell ref="C93:F93"/>
    <mergeCell ref="D63:F63"/>
  </mergeCells>
  <phoneticPr fontId="0" type="noConversion"/>
  <printOptions horizontalCentered="1" verticalCentered="1"/>
  <pageMargins left="0.39370078740157483" right="0" top="0" bottom="0" header="0.51181102362204722" footer="0"/>
  <pageSetup paperSize="9" scale="70" orientation="portrait" r:id="rId1"/>
  <headerFooter alignWithMargins="0">
    <oddHeader xml:space="preserve">&amp;R&amp;"-,Félkövér"&amp;11  3. melléklet a 13/2023. (V.26.) önkormányzati rendelethez </oddHeader>
  </headerFooter>
  <rowBreaks count="2" manualBreakCount="2">
    <brk id="44" min="1" max="9" man="1"/>
    <brk id="91" min="1" max="9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F93CF-EFC6-4311-837A-1DAFA0A65D2F}">
  <dimension ref="B2:F25"/>
  <sheetViews>
    <sheetView tabSelected="1" view="pageLayout" zoomScaleNormal="100" workbookViewId="0">
      <selection activeCell="B3" sqref="B3:E3"/>
    </sheetView>
  </sheetViews>
  <sheetFormatPr defaultRowHeight="15" x14ac:dyDescent="0.2"/>
  <cols>
    <col min="1" max="1" width="9.33203125" style="617"/>
    <col min="2" max="2" width="25.1640625" style="617" customWidth="1"/>
    <col min="3" max="5" width="26.83203125" style="617" customWidth="1"/>
    <col min="6" max="6" width="25.33203125" style="617" customWidth="1"/>
    <col min="7" max="7" width="9.33203125" style="617"/>
    <col min="8" max="8" width="11.5" style="617" bestFit="1" customWidth="1"/>
    <col min="9" max="253" width="9.33203125" style="617"/>
    <col min="254" max="254" width="14.83203125" style="617" customWidth="1"/>
    <col min="255" max="255" width="20.33203125" style="617" customWidth="1"/>
    <col min="256" max="256" width="18.6640625" style="617" bestFit="1" customWidth="1"/>
    <col min="257" max="257" width="16.33203125" style="617" customWidth="1"/>
    <col min="258" max="258" width="22.6640625" style="617" bestFit="1" customWidth="1"/>
    <col min="259" max="260" width="18" style="617" bestFit="1" customWidth="1"/>
    <col min="261" max="261" width="12.6640625" style="617" customWidth="1"/>
    <col min="262" max="262" width="18.1640625" style="617" bestFit="1" customWidth="1"/>
    <col min="263" max="263" width="9.33203125" style="617"/>
    <col min="264" max="264" width="11.5" style="617" bestFit="1" customWidth="1"/>
    <col min="265" max="509" width="9.33203125" style="617"/>
    <col min="510" max="510" width="14.83203125" style="617" customWidth="1"/>
    <col min="511" max="511" width="20.33203125" style="617" customWidth="1"/>
    <col min="512" max="512" width="18.6640625" style="617" bestFit="1" customWidth="1"/>
    <col min="513" max="513" width="16.33203125" style="617" customWidth="1"/>
    <col min="514" max="514" width="22.6640625" style="617" bestFit="1" customWidth="1"/>
    <col min="515" max="516" width="18" style="617" bestFit="1" customWidth="1"/>
    <col min="517" max="517" width="12.6640625" style="617" customWidth="1"/>
    <col min="518" max="518" width="18.1640625" style="617" bestFit="1" customWidth="1"/>
    <col min="519" max="519" width="9.33203125" style="617"/>
    <col min="520" max="520" width="11.5" style="617" bestFit="1" customWidth="1"/>
    <col min="521" max="765" width="9.33203125" style="617"/>
    <col min="766" max="766" width="14.83203125" style="617" customWidth="1"/>
    <col min="767" max="767" width="20.33203125" style="617" customWidth="1"/>
    <col min="768" max="768" width="18.6640625" style="617" bestFit="1" customWidth="1"/>
    <col min="769" max="769" width="16.33203125" style="617" customWidth="1"/>
    <col min="770" max="770" width="22.6640625" style="617" bestFit="1" customWidth="1"/>
    <col min="771" max="772" width="18" style="617" bestFit="1" customWidth="1"/>
    <col min="773" max="773" width="12.6640625" style="617" customWidth="1"/>
    <col min="774" max="774" width="18.1640625" style="617" bestFit="1" customWidth="1"/>
    <col min="775" max="775" width="9.33203125" style="617"/>
    <col min="776" max="776" width="11.5" style="617" bestFit="1" customWidth="1"/>
    <col min="777" max="1021" width="9.33203125" style="617"/>
    <col min="1022" max="1022" width="14.83203125" style="617" customWidth="1"/>
    <col min="1023" max="1023" width="20.33203125" style="617" customWidth="1"/>
    <col min="1024" max="1024" width="18.6640625" style="617" bestFit="1" customWidth="1"/>
    <col min="1025" max="1025" width="16.33203125" style="617" customWidth="1"/>
    <col min="1026" max="1026" width="22.6640625" style="617" bestFit="1" customWidth="1"/>
    <col min="1027" max="1028" width="18" style="617" bestFit="1" customWidth="1"/>
    <col min="1029" max="1029" width="12.6640625" style="617" customWidth="1"/>
    <col min="1030" max="1030" width="18.1640625" style="617" bestFit="1" customWidth="1"/>
    <col min="1031" max="1031" width="9.33203125" style="617"/>
    <col min="1032" max="1032" width="11.5" style="617" bestFit="1" customWidth="1"/>
    <col min="1033" max="1277" width="9.33203125" style="617"/>
    <col min="1278" max="1278" width="14.83203125" style="617" customWidth="1"/>
    <col min="1279" max="1279" width="20.33203125" style="617" customWidth="1"/>
    <col min="1280" max="1280" width="18.6640625" style="617" bestFit="1" customWidth="1"/>
    <col min="1281" max="1281" width="16.33203125" style="617" customWidth="1"/>
    <col min="1282" max="1282" width="22.6640625" style="617" bestFit="1" customWidth="1"/>
    <col min="1283" max="1284" width="18" style="617" bestFit="1" customWidth="1"/>
    <col min="1285" max="1285" width="12.6640625" style="617" customWidth="1"/>
    <col min="1286" max="1286" width="18.1640625" style="617" bestFit="1" customWidth="1"/>
    <col min="1287" max="1287" width="9.33203125" style="617"/>
    <col min="1288" max="1288" width="11.5" style="617" bestFit="1" customWidth="1"/>
    <col min="1289" max="1533" width="9.33203125" style="617"/>
    <col min="1534" max="1534" width="14.83203125" style="617" customWidth="1"/>
    <col min="1535" max="1535" width="20.33203125" style="617" customWidth="1"/>
    <col min="1536" max="1536" width="18.6640625" style="617" bestFit="1" customWidth="1"/>
    <col min="1537" max="1537" width="16.33203125" style="617" customWidth="1"/>
    <col min="1538" max="1538" width="22.6640625" style="617" bestFit="1" customWidth="1"/>
    <col min="1539" max="1540" width="18" style="617" bestFit="1" customWidth="1"/>
    <col min="1541" max="1541" width="12.6640625" style="617" customWidth="1"/>
    <col min="1542" max="1542" width="18.1640625" style="617" bestFit="1" customWidth="1"/>
    <col min="1543" max="1543" width="9.33203125" style="617"/>
    <col min="1544" max="1544" width="11.5" style="617" bestFit="1" customWidth="1"/>
    <col min="1545" max="1789" width="9.33203125" style="617"/>
    <col min="1790" max="1790" width="14.83203125" style="617" customWidth="1"/>
    <col min="1791" max="1791" width="20.33203125" style="617" customWidth="1"/>
    <col min="1792" max="1792" width="18.6640625" style="617" bestFit="1" customWidth="1"/>
    <col min="1793" max="1793" width="16.33203125" style="617" customWidth="1"/>
    <col min="1794" max="1794" width="22.6640625" style="617" bestFit="1" customWidth="1"/>
    <col min="1795" max="1796" width="18" style="617" bestFit="1" customWidth="1"/>
    <col min="1797" max="1797" width="12.6640625" style="617" customWidth="1"/>
    <col min="1798" max="1798" width="18.1640625" style="617" bestFit="1" customWidth="1"/>
    <col min="1799" max="1799" width="9.33203125" style="617"/>
    <col min="1800" max="1800" width="11.5" style="617" bestFit="1" customWidth="1"/>
    <col min="1801" max="2045" width="9.33203125" style="617"/>
    <col min="2046" max="2046" width="14.83203125" style="617" customWidth="1"/>
    <col min="2047" max="2047" width="20.33203125" style="617" customWidth="1"/>
    <col min="2048" max="2048" width="18.6640625" style="617" bestFit="1" customWidth="1"/>
    <col min="2049" max="2049" width="16.33203125" style="617" customWidth="1"/>
    <col min="2050" max="2050" width="22.6640625" style="617" bestFit="1" customWidth="1"/>
    <col min="2051" max="2052" width="18" style="617" bestFit="1" customWidth="1"/>
    <col min="2053" max="2053" width="12.6640625" style="617" customWidth="1"/>
    <col min="2054" max="2054" width="18.1640625" style="617" bestFit="1" customWidth="1"/>
    <col min="2055" max="2055" width="9.33203125" style="617"/>
    <col min="2056" max="2056" width="11.5" style="617" bestFit="1" customWidth="1"/>
    <col min="2057" max="2301" width="9.33203125" style="617"/>
    <col min="2302" max="2302" width="14.83203125" style="617" customWidth="1"/>
    <col min="2303" max="2303" width="20.33203125" style="617" customWidth="1"/>
    <col min="2304" max="2304" width="18.6640625" style="617" bestFit="1" customWidth="1"/>
    <col min="2305" max="2305" width="16.33203125" style="617" customWidth="1"/>
    <col min="2306" max="2306" width="22.6640625" style="617" bestFit="1" customWidth="1"/>
    <col min="2307" max="2308" width="18" style="617" bestFit="1" customWidth="1"/>
    <col min="2309" max="2309" width="12.6640625" style="617" customWidth="1"/>
    <col min="2310" max="2310" width="18.1640625" style="617" bestFit="1" customWidth="1"/>
    <col min="2311" max="2311" width="9.33203125" style="617"/>
    <col min="2312" max="2312" width="11.5" style="617" bestFit="1" customWidth="1"/>
    <col min="2313" max="2557" width="9.33203125" style="617"/>
    <col min="2558" max="2558" width="14.83203125" style="617" customWidth="1"/>
    <col min="2559" max="2559" width="20.33203125" style="617" customWidth="1"/>
    <col min="2560" max="2560" width="18.6640625" style="617" bestFit="1" customWidth="1"/>
    <col min="2561" max="2561" width="16.33203125" style="617" customWidth="1"/>
    <col min="2562" max="2562" width="22.6640625" style="617" bestFit="1" customWidth="1"/>
    <col min="2563" max="2564" width="18" style="617" bestFit="1" customWidth="1"/>
    <col min="2565" max="2565" width="12.6640625" style="617" customWidth="1"/>
    <col min="2566" max="2566" width="18.1640625" style="617" bestFit="1" customWidth="1"/>
    <col min="2567" max="2567" width="9.33203125" style="617"/>
    <col min="2568" max="2568" width="11.5" style="617" bestFit="1" customWidth="1"/>
    <col min="2569" max="2813" width="9.33203125" style="617"/>
    <col min="2814" max="2814" width="14.83203125" style="617" customWidth="1"/>
    <col min="2815" max="2815" width="20.33203125" style="617" customWidth="1"/>
    <col min="2816" max="2816" width="18.6640625" style="617" bestFit="1" customWidth="1"/>
    <col min="2817" max="2817" width="16.33203125" style="617" customWidth="1"/>
    <col min="2818" max="2818" width="22.6640625" style="617" bestFit="1" customWidth="1"/>
    <col min="2819" max="2820" width="18" style="617" bestFit="1" customWidth="1"/>
    <col min="2821" max="2821" width="12.6640625" style="617" customWidth="1"/>
    <col min="2822" max="2822" width="18.1640625" style="617" bestFit="1" customWidth="1"/>
    <col min="2823" max="2823" width="9.33203125" style="617"/>
    <col min="2824" max="2824" width="11.5" style="617" bestFit="1" customWidth="1"/>
    <col min="2825" max="3069" width="9.33203125" style="617"/>
    <col min="3070" max="3070" width="14.83203125" style="617" customWidth="1"/>
    <col min="3071" max="3071" width="20.33203125" style="617" customWidth="1"/>
    <col min="3072" max="3072" width="18.6640625" style="617" bestFit="1" customWidth="1"/>
    <col min="3073" max="3073" width="16.33203125" style="617" customWidth="1"/>
    <col min="3074" max="3074" width="22.6640625" style="617" bestFit="1" customWidth="1"/>
    <col min="3075" max="3076" width="18" style="617" bestFit="1" customWidth="1"/>
    <col min="3077" max="3077" width="12.6640625" style="617" customWidth="1"/>
    <col min="3078" max="3078" width="18.1640625" style="617" bestFit="1" customWidth="1"/>
    <col min="3079" max="3079" width="9.33203125" style="617"/>
    <col min="3080" max="3080" width="11.5" style="617" bestFit="1" customWidth="1"/>
    <col min="3081" max="3325" width="9.33203125" style="617"/>
    <col min="3326" max="3326" width="14.83203125" style="617" customWidth="1"/>
    <col min="3327" max="3327" width="20.33203125" style="617" customWidth="1"/>
    <col min="3328" max="3328" width="18.6640625" style="617" bestFit="1" customWidth="1"/>
    <col min="3329" max="3329" width="16.33203125" style="617" customWidth="1"/>
    <col min="3330" max="3330" width="22.6640625" style="617" bestFit="1" customWidth="1"/>
    <col min="3331" max="3332" width="18" style="617" bestFit="1" customWidth="1"/>
    <col min="3333" max="3333" width="12.6640625" style="617" customWidth="1"/>
    <col min="3334" max="3334" width="18.1640625" style="617" bestFit="1" customWidth="1"/>
    <col min="3335" max="3335" width="9.33203125" style="617"/>
    <col min="3336" max="3336" width="11.5" style="617" bestFit="1" customWidth="1"/>
    <col min="3337" max="3581" width="9.33203125" style="617"/>
    <col min="3582" max="3582" width="14.83203125" style="617" customWidth="1"/>
    <col min="3583" max="3583" width="20.33203125" style="617" customWidth="1"/>
    <col min="3584" max="3584" width="18.6640625" style="617" bestFit="1" customWidth="1"/>
    <col min="3585" max="3585" width="16.33203125" style="617" customWidth="1"/>
    <col min="3586" max="3586" width="22.6640625" style="617" bestFit="1" customWidth="1"/>
    <col min="3587" max="3588" width="18" style="617" bestFit="1" customWidth="1"/>
    <col min="3589" max="3589" width="12.6640625" style="617" customWidth="1"/>
    <col min="3590" max="3590" width="18.1640625" style="617" bestFit="1" customWidth="1"/>
    <col min="3591" max="3591" width="9.33203125" style="617"/>
    <col min="3592" max="3592" width="11.5" style="617" bestFit="1" customWidth="1"/>
    <col min="3593" max="3837" width="9.33203125" style="617"/>
    <col min="3838" max="3838" width="14.83203125" style="617" customWidth="1"/>
    <col min="3839" max="3839" width="20.33203125" style="617" customWidth="1"/>
    <col min="3840" max="3840" width="18.6640625" style="617" bestFit="1" customWidth="1"/>
    <col min="3841" max="3841" width="16.33203125" style="617" customWidth="1"/>
    <col min="3842" max="3842" width="22.6640625" style="617" bestFit="1" customWidth="1"/>
    <col min="3843" max="3844" width="18" style="617" bestFit="1" customWidth="1"/>
    <col min="3845" max="3845" width="12.6640625" style="617" customWidth="1"/>
    <col min="3846" max="3846" width="18.1640625" style="617" bestFit="1" customWidth="1"/>
    <col min="3847" max="3847" width="9.33203125" style="617"/>
    <col min="3848" max="3848" width="11.5" style="617" bestFit="1" customWidth="1"/>
    <col min="3849" max="4093" width="9.33203125" style="617"/>
    <col min="4094" max="4094" width="14.83203125" style="617" customWidth="1"/>
    <col min="4095" max="4095" width="20.33203125" style="617" customWidth="1"/>
    <col min="4096" max="4096" width="18.6640625" style="617" bestFit="1" customWidth="1"/>
    <col min="4097" max="4097" width="16.33203125" style="617" customWidth="1"/>
    <col min="4098" max="4098" width="22.6640625" style="617" bestFit="1" customWidth="1"/>
    <col min="4099" max="4100" width="18" style="617" bestFit="1" customWidth="1"/>
    <col min="4101" max="4101" width="12.6640625" style="617" customWidth="1"/>
    <col min="4102" max="4102" width="18.1640625" style="617" bestFit="1" customWidth="1"/>
    <col min="4103" max="4103" width="9.33203125" style="617"/>
    <col min="4104" max="4104" width="11.5" style="617" bestFit="1" customWidth="1"/>
    <col min="4105" max="4349" width="9.33203125" style="617"/>
    <col min="4350" max="4350" width="14.83203125" style="617" customWidth="1"/>
    <col min="4351" max="4351" width="20.33203125" style="617" customWidth="1"/>
    <col min="4352" max="4352" width="18.6640625" style="617" bestFit="1" customWidth="1"/>
    <col min="4353" max="4353" width="16.33203125" style="617" customWidth="1"/>
    <col min="4354" max="4354" width="22.6640625" style="617" bestFit="1" customWidth="1"/>
    <col min="4355" max="4356" width="18" style="617" bestFit="1" customWidth="1"/>
    <col min="4357" max="4357" width="12.6640625" style="617" customWidth="1"/>
    <col min="4358" max="4358" width="18.1640625" style="617" bestFit="1" customWidth="1"/>
    <col min="4359" max="4359" width="9.33203125" style="617"/>
    <col min="4360" max="4360" width="11.5" style="617" bestFit="1" customWidth="1"/>
    <col min="4361" max="4605" width="9.33203125" style="617"/>
    <col min="4606" max="4606" width="14.83203125" style="617" customWidth="1"/>
    <col min="4607" max="4607" width="20.33203125" style="617" customWidth="1"/>
    <col min="4608" max="4608" width="18.6640625" style="617" bestFit="1" customWidth="1"/>
    <col min="4609" max="4609" width="16.33203125" style="617" customWidth="1"/>
    <col min="4610" max="4610" width="22.6640625" style="617" bestFit="1" customWidth="1"/>
    <col min="4611" max="4612" width="18" style="617" bestFit="1" customWidth="1"/>
    <col min="4613" max="4613" width="12.6640625" style="617" customWidth="1"/>
    <col min="4614" max="4614" width="18.1640625" style="617" bestFit="1" customWidth="1"/>
    <col min="4615" max="4615" width="9.33203125" style="617"/>
    <col min="4616" max="4616" width="11.5" style="617" bestFit="1" customWidth="1"/>
    <col min="4617" max="4861" width="9.33203125" style="617"/>
    <col min="4862" max="4862" width="14.83203125" style="617" customWidth="1"/>
    <col min="4863" max="4863" width="20.33203125" style="617" customWidth="1"/>
    <col min="4864" max="4864" width="18.6640625" style="617" bestFit="1" customWidth="1"/>
    <col min="4865" max="4865" width="16.33203125" style="617" customWidth="1"/>
    <col min="4866" max="4866" width="22.6640625" style="617" bestFit="1" customWidth="1"/>
    <col min="4867" max="4868" width="18" style="617" bestFit="1" customWidth="1"/>
    <col min="4869" max="4869" width="12.6640625" style="617" customWidth="1"/>
    <col min="4870" max="4870" width="18.1640625" style="617" bestFit="1" customWidth="1"/>
    <col min="4871" max="4871" width="9.33203125" style="617"/>
    <col min="4872" max="4872" width="11.5" style="617" bestFit="1" customWidth="1"/>
    <col min="4873" max="5117" width="9.33203125" style="617"/>
    <col min="5118" max="5118" width="14.83203125" style="617" customWidth="1"/>
    <col min="5119" max="5119" width="20.33203125" style="617" customWidth="1"/>
    <col min="5120" max="5120" width="18.6640625" style="617" bestFit="1" customWidth="1"/>
    <col min="5121" max="5121" width="16.33203125" style="617" customWidth="1"/>
    <col min="5122" max="5122" width="22.6640625" style="617" bestFit="1" customWidth="1"/>
    <col min="5123" max="5124" width="18" style="617" bestFit="1" customWidth="1"/>
    <col min="5125" max="5125" width="12.6640625" style="617" customWidth="1"/>
    <col min="5126" max="5126" width="18.1640625" style="617" bestFit="1" customWidth="1"/>
    <col min="5127" max="5127" width="9.33203125" style="617"/>
    <col min="5128" max="5128" width="11.5" style="617" bestFit="1" customWidth="1"/>
    <col min="5129" max="5373" width="9.33203125" style="617"/>
    <col min="5374" max="5374" width="14.83203125" style="617" customWidth="1"/>
    <col min="5375" max="5375" width="20.33203125" style="617" customWidth="1"/>
    <col min="5376" max="5376" width="18.6640625" style="617" bestFit="1" customWidth="1"/>
    <col min="5377" max="5377" width="16.33203125" style="617" customWidth="1"/>
    <col min="5378" max="5378" width="22.6640625" style="617" bestFit="1" customWidth="1"/>
    <col min="5379" max="5380" width="18" style="617" bestFit="1" customWidth="1"/>
    <col min="5381" max="5381" width="12.6640625" style="617" customWidth="1"/>
    <col min="5382" max="5382" width="18.1640625" style="617" bestFit="1" customWidth="1"/>
    <col min="5383" max="5383" width="9.33203125" style="617"/>
    <col min="5384" max="5384" width="11.5" style="617" bestFit="1" customWidth="1"/>
    <col min="5385" max="5629" width="9.33203125" style="617"/>
    <col min="5630" max="5630" width="14.83203125" style="617" customWidth="1"/>
    <col min="5631" max="5631" width="20.33203125" style="617" customWidth="1"/>
    <col min="5632" max="5632" width="18.6640625" style="617" bestFit="1" customWidth="1"/>
    <col min="5633" max="5633" width="16.33203125" style="617" customWidth="1"/>
    <col min="5634" max="5634" width="22.6640625" style="617" bestFit="1" customWidth="1"/>
    <col min="5635" max="5636" width="18" style="617" bestFit="1" customWidth="1"/>
    <col min="5637" max="5637" width="12.6640625" style="617" customWidth="1"/>
    <col min="5638" max="5638" width="18.1640625" style="617" bestFit="1" customWidth="1"/>
    <col min="5639" max="5639" width="9.33203125" style="617"/>
    <col min="5640" max="5640" width="11.5" style="617" bestFit="1" customWidth="1"/>
    <col min="5641" max="5885" width="9.33203125" style="617"/>
    <col min="5886" max="5886" width="14.83203125" style="617" customWidth="1"/>
    <col min="5887" max="5887" width="20.33203125" style="617" customWidth="1"/>
    <col min="5888" max="5888" width="18.6640625" style="617" bestFit="1" customWidth="1"/>
    <col min="5889" max="5889" width="16.33203125" style="617" customWidth="1"/>
    <col min="5890" max="5890" width="22.6640625" style="617" bestFit="1" customWidth="1"/>
    <col min="5891" max="5892" width="18" style="617" bestFit="1" customWidth="1"/>
    <col min="5893" max="5893" width="12.6640625" style="617" customWidth="1"/>
    <col min="5894" max="5894" width="18.1640625" style="617" bestFit="1" customWidth="1"/>
    <col min="5895" max="5895" width="9.33203125" style="617"/>
    <col min="5896" max="5896" width="11.5" style="617" bestFit="1" customWidth="1"/>
    <col min="5897" max="6141" width="9.33203125" style="617"/>
    <col min="6142" max="6142" width="14.83203125" style="617" customWidth="1"/>
    <col min="6143" max="6143" width="20.33203125" style="617" customWidth="1"/>
    <col min="6144" max="6144" width="18.6640625" style="617" bestFit="1" customWidth="1"/>
    <col min="6145" max="6145" width="16.33203125" style="617" customWidth="1"/>
    <col min="6146" max="6146" width="22.6640625" style="617" bestFit="1" customWidth="1"/>
    <col min="6147" max="6148" width="18" style="617" bestFit="1" customWidth="1"/>
    <col min="6149" max="6149" width="12.6640625" style="617" customWidth="1"/>
    <col min="6150" max="6150" width="18.1640625" style="617" bestFit="1" customWidth="1"/>
    <col min="6151" max="6151" width="9.33203125" style="617"/>
    <col min="6152" max="6152" width="11.5" style="617" bestFit="1" customWidth="1"/>
    <col min="6153" max="6397" width="9.33203125" style="617"/>
    <col min="6398" max="6398" width="14.83203125" style="617" customWidth="1"/>
    <col min="6399" max="6399" width="20.33203125" style="617" customWidth="1"/>
    <col min="6400" max="6400" width="18.6640625" style="617" bestFit="1" customWidth="1"/>
    <col min="6401" max="6401" width="16.33203125" style="617" customWidth="1"/>
    <col min="6402" max="6402" width="22.6640625" style="617" bestFit="1" customWidth="1"/>
    <col min="6403" max="6404" width="18" style="617" bestFit="1" customWidth="1"/>
    <col min="6405" max="6405" width="12.6640625" style="617" customWidth="1"/>
    <col min="6406" max="6406" width="18.1640625" style="617" bestFit="1" customWidth="1"/>
    <col min="6407" max="6407" width="9.33203125" style="617"/>
    <col min="6408" max="6408" width="11.5" style="617" bestFit="1" customWidth="1"/>
    <col min="6409" max="6653" width="9.33203125" style="617"/>
    <col min="6654" max="6654" width="14.83203125" style="617" customWidth="1"/>
    <col min="6655" max="6655" width="20.33203125" style="617" customWidth="1"/>
    <col min="6656" max="6656" width="18.6640625" style="617" bestFit="1" customWidth="1"/>
    <col min="6657" max="6657" width="16.33203125" style="617" customWidth="1"/>
    <col min="6658" max="6658" width="22.6640625" style="617" bestFit="1" customWidth="1"/>
    <col min="6659" max="6660" width="18" style="617" bestFit="1" customWidth="1"/>
    <col min="6661" max="6661" width="12.6640625" style="617" customWidth="1"/>
    <col min="6662" max="6662" width="18.1640625" style="617" bestFit="1" customWidth="1"/>
    <col min="6663" max="6663" width="9.33203125" style="617"/>
    <col min="6664" max="6664" width="11.5" style="617" bestFit="1" customWidth="1"/>
    <col min="6665" max="6909" width="9.33203125" style="617"/>
    <col min="6910" max="6910" width="14.83203125" style="617" customWidth="1"/>
    <col min="6911" max="6911" width="20.33203125" style="617" customWidth="1"/>
    <col min="6912" max="6912" width="18.6640625" style="617" bestFit="1" customWidth="1"/>
    <col min="6913" max="6913" width="16.33203125" style="617" customWidth="1"/>
    <col min="6914" max="6914" width="22.6640625" style="617" bestFit="1" customWidth="1"/>
    <col min="6915" max="6916" width="18" style="617" bestFit="1" customWidth="1"/>
    <col min="6917" max="6917" width="12.6640625" style="617" customWidth="1"/>
    <col min="6918" max="6918" width="18.1640625" style="617" bestFit="1" customWidth="1"/>
    <col min="6919" max="6919" width="9.33203125" style="617"/>
    <col min="6920" max="6920" width="11.5" style="617" bestFit="1" customWidth="1"/>
    <col min="6921" max="7165" width="9.33203125" style="617"/>
    <col min="7166" max="7166" width="14.83203125" style="617" customWidth="1"/>
    <col min="7167" max="7167" width="20.33203125" style="617" customWidth="1"/>
    <col min="7168" max="7168" width="18.6640625" style="617" bestFit="1" customWidth="1"/>
    <col min="7169" max="7169" width="16.33203125" style="617" customWidth="1"/>
    <col min="7170" max="7170" width="22.6640625" style="617" bestFit="1" customWidth="1"/>
    <col min="7171" max="7172" width="18" style="617" bestFit="1" customWidth="1"/>
    <col min="7173" max="7173" width="12.6640625" style="617" customWidth="1"/>
    <col min="7174" max="7174" width="18.1640625" style="617" bestFit="1" customWidth="1"/>
    <col min="7175" max="7175" width="9.33203125" style="617"/>
    <col min="7176" max="7176" width="11.5" style="617" bestFit="1" customWidth="1"/>
    <col min="7177" max="7421" width="9.33203125" style="617"/>
    <col min="7422" max="7422" width="14.83203125" style="617" customWidth="1"/>
    <col min="7423" max="7423" width="20.33203125" style="617" customWidth="1"/>
    <col min="7424" max="7424" width="18.6640625" style="617" bestFit="1" customWidth="1"/>
    <col min="7425" max="7425" width="16.33203125" style="617" customWidth="1"/>
    <col min="7426" max="7426" width="22.6640625" style="617" bestFit="1" customWidth="1"/>
    <col min="7427" max="7428" width="18" style="617" bestFit="1" customWidth="1"/>
    <col min="7429" max="7429" width="12.6640625" style="617" customWidth="1"/>
    <col min="7430" max="7430" width="18.1640625" style="617" bestFit="1" customWidth="1"/>
    <col min="7431" max="7431" width="9.33203125" style="617"/>
    <col min="7432" max="7432" width="11.5" style="617" bestFit="1" customWidth="1"/>
    <col min="7433" max="7677" width="9.33203125" style="617"/>
    <col min="7678" max="7678" width="14.83203125" style="617" customWidth="1"/>
    <col min="7679" max="7679" width="20.33203125" style="617" customWidth="1"/>
    <col min="7680" max="7680" width="18.6640625" style="617" bestFit="1" customWidth="1"/>
    <col min="7681" max="7681" width="16.33203125" style="617" customWidth="1"/>
    <col min="7682" max="7682" width="22.6640625" style="617" bestFit="1" customWidth="1"/>
    <col min="7683" max="7684" width="18" style="617" bestFit="1" customWidth="1"/>
    <col min="7685" max="7685" width="12.6640625" style="617" customWidth="1"/>
    <col min="7686" max="7686" width="18.1640625" style="617" bestFit="1" customWidth="1"/>
    <col min="7687" max="7687" width="9.33203125" style="617"/>
    <col min="7688" max="7688" width="11.5" style="617" bestFit="1" customWidth="1"/>
    <col min="7689" max="7933" width="9.33203125" style="617"/>
    <col min="7934" max="7934" width="14.83203125" style="617" customWidth="1"/>
    <col min="7935" max="7935" width="20.33203125" style="617" customWidth="1"/>
    <col min="7936" max="7936" width="18.6640625" style="617" bestFit="1" customWidth="1"/>
    <col min="7937" max="7937" width="16.33203125" style="617" customWidth="1"/>
    <col min="7938" max="7938" width="22.6640625" style="617" bestFit="1" customWidth="1"/>
    <col min="7939" max="7940" width="18" style="617" bestFit="1" customWidth="1"/>
    <col min="7941" max="7941" width="12.6640625" style="617" customWidth="1"/>
    <col min="7942" max="7942" width="18.1640625" style="617" bestFit="1" customWidth="1"/>
    <col min="7943" max="7943" width="9.33203125" style="617"/>
    <col min="7944" max="7944" width="11.5" style="617" bestFit="1" customWidth="1"/>
    <col min="7945" max="8189" width="9.33203125" style="617"/>
    <col min="8190" max="8190" width="14.83203125" style="617" customWidth="1"/>
    <col min="8191" max="8191" width="20.33203125" style="617" customWidth="1"/>
    <col min="8192" max="8192" width="18.6640625" style="617" bestFit="1" customWidth="1"/>
    <col min="8193" max="8193" width="16.33203125" style="617" customWidth="1"/>
    <col min="8194" max="8194" width="22.6640625" style="617" bestFit="1" customWidth="1"/>
    <col min="8195" max="8196" width="18" style="617" bestFit="1" customWidth="1"/>
    <col min="8197" max="8197" width="12.6640625" style="617" customWidth="1"/>
    <col min="8198" max="8198" width="18.1640625" style="617" bestFit="1" customWidth="1"/>
    <col min="8199" max="8199" width="9.33203125" style="617"/>
    <col min="8200" max="8200" width="11.5" style="617" bestFit="1" customWidth="1"/>
    <col min="8201" max="8445" width="9.33203125" style="617"/>
    <col min="8446" max="8446" width="14.83203125" style="617" customWidth="1"/>
    <col min="8447" max="8447" width="20.33203125" style="617" customWidth="1"/>
    <col min="8448" max="8448" width="18.6640625" style="617" bestFit="1" customWidth="1"/>
    <col min="8449" max="8449" width="16.33203125" style="617" customWidth="1"/>
    <col min="8450" max="8450" width="22.6640625" style="617" bestFit="1" customWidth="1"/>
    <col min="8451" max="8452" width="18" style="617" bestFit="1" customWidth="1"/>
    <col min="8453" max="8453" width="12.6640625" style="617" customWidth="1"/>
    <col min="8454" max="8454" width="18.1640625" style="617" bestFit="1" customWidth="1"/>
    <col min="8455" max="8455" width="9.33203125" style="617"/>
    <col min="8456" max="8456" width="11.5" style="617" bestFit="1" customWidth="1"/>
    <col min="8457" max="8701" width="9.33203125" style="617"/>
    <col min="8702" max="8702" width="14.83203125" style="617" customWidth="1"/>
    <col min="8703" max="8703" width="20.33203125" style="617" customWidth="1"/>
    <col min="8704" max="8704" width="18.6640625" style="617" bestFit="1" customWidth="1"/>
    <col min="8705" max="8705" width="16.33203125" style="617" customWidth="1"/>
    <col min="8706" max="8706" width="22.6640625" style="617" bestFit="1" customWidth="1"/>
    <col min="8707" max="8708" width="18" style="617" bestFit="1" customWidth="1"/>
    <col min="8709" max="8709" width="12.6640625" style="617" customWidth="1"/>
    <col min="8710" max="8710" width="18.1640625" style="617" bestFit="1" customWidth="1"/>
    <col min="8711" max="8711" width="9.33203125" style="617"/>
    <col min="8712" max="8712" width="11.5" style="617" bestFit="1" customWidth="1"/>
    <col min="8713" max="8957" width="9.33203125" style="617"/>
    <col min="8958" max="8958" width="14.83203125" style="617" customWidth="1"/>
    <col min="8959" max="8959" width="20.33203125" style="617" customWidth="1"/>
    <col min="8960" max="8960" width="18.6640625" style="617" bestFit="1" customWidth="1"/>
    <col min="8961" max="8961" width="16.33203125" style="617" customWidth="1"/>
    <col min="8962" max="8962" width="22.6640625" style="617" bestFit="1" customWidth="1"/>
    <col min="8963" max="8964" width="18" style="617" bestFit="1" customWidth="1"/>
    <col min="8965" max="8965" width="12.6640625" style="617" customWidth="1"/>
    <col min="8966" max="8966" width="18.1640625" style="617" bestFit="1" customWidth="1"/>
    <col min="8967" max="8967" width="9.33203125" style="617"/>
    <col min="8968" max="8968" width="11.5" style="617" bestFit="1" customWidth="1"/>
    <col min="8969" max="9213" width="9.33203125" style="617"/>
    <col min="9214" max="9214" width="14.83203125" style="617" customWidth="1"/>
    <col min="9215" max="9215" width="20.33203125" style="617" customWidth="1"/>
    <col min="9216" max="9216" width="18.6640625" style="617" bestFit="1" customWidth="1"/>
    <col min="9217" max="9217" width="16.33203125" style="617" customWidth="1"/>
    <col min="9218" max="9218" width="22.6640625" style="617" bestFit="1" customWidth="1"/>
    <col min="9219" max="9220" width="18" style="617" bestFit="1" customWidth="1"/>
    <col min="9221" max="9221" width="12.6640625" style="617" customWidth="1"/>
    <col min="9222" max="9222" width="18.1640625" style="617" bestFit="1" customWidth="1"/>
    <col min="9223" max="9223" width="9.33203125" style="617"/>
    <col min="9224" max="9224" width="11.5" style="617" bestFit="1" customWidth="1"/>
    <col min="9225" max="9469" width="9.33203125" style="617"/>
    <col min="9470" max="9470" width="14.83203125" style="617" customWidth="1"/>
    <col min="9471" max="9471" width="20.33203125" style="617" customWidth="1"/>
    <col min="9472" max="9472" width="18.6640625" style="617" bestFit="1" customWidth="1"/>
    <col min="9473" max="9473" width="16.33203125" style="617" customWidth="1"/>
    <col min="9474" max="9474" width="22.6640625" style="617" bestFit="1" customWidth="1"/>
    <col min="9475" max="9476" width="18" style="617" bestFit="1" customWidth="1"/>
    <col min="9477" max="9477" width="12.6640625" style="617" customWidth="1"/>
    <col min="9478" max="9478" width="18.1640625" style="617" bestFit="1" customWidth="1"/>
    <col min="9479" max="9479" width="9.33203125" style="617"/>
    <col min="9480" max="9480" width="11.5" style="617" bestFit="1" customWidth="1"/>
    <col min="9481" max="9725" width="9.33203125" style="617"/>
    <col min="9726" max="9726" width="14.83203125" style="617" customWidth="1"/>
    <col min="9727" max="9727" width="20.33203125" style="617" customWidth="1"/>
    <col min="9728" max="9728" width="18.6640625" style="617" bestFit="1" customWidth="1"/>
    <col min="9729" max="9729" width="16.33203125" style="617" customWidth="1"/>
    <col min="9730" max="9730" width="22.6640625" style="617" bestFit="1" customWidth="1"/>
    <col min="9731" max="9732" width="18" style="617" bestFit="1" customWidth="1"/>
    <col min="9733" max="9733" width="12.6640625" style="617" customWidth="1"/>
    <col min="9734" max="9734" width="18.1640625" style="617" bestFit="1" customWidth="1"/>
    <col min="9735" max="9735" width="9.33203125" style="617"/>
    <col min="9736" max="9736" width="11.5" style="617" bestFit="1" customWidth="1"/>
    <col min="9737" max="9981" width="9.33203125" style="617"/>
    <col min="9982" max="9982" width="14.83203125" style="617" customWidth="1"/>
    <col min="9983" max="9983" width="20.33203125" style="617" customWidth="1"/>
    <col min="9984" max="9984" width="18.6640625" style="617" bestFit="1" customWidth="1"/>
    <col min="9985" max="9985" width="16.33203125" style="617" customWidth="1"/>
    <col min="9986" max="9986" width="22.6640625" style="617" bestFit="1" customWidth="1"/>
    <col min="9987" max="9988" width="18" style="617" bestFit="1" customWidth="1"/>
    <col min="9989" max="9989" width="12.6640625" style="617" customWidth="1"/>
    <col min="9990" max="9990" width="18.1640625" style="617" bestFit="1" customWidth="1"/>
    <col min="9991" max="9991" width="9.33203125" style="617"/>
    <col min="9992" max="9992" width="11.5" style="617" bestFit="1" customWidth="1"/>
    <col min="9993" max="10237" width="9.33203125" style="617"/>
    <col min="10238" max="10238" width="14.83203125" style="617" customWidth="1"/>
    <col min="10239" max="10239" width="20.33203125" style="617" customWidth="1"/>
    <col min="10240" max="10240" width="18.6640625" style="617" bestFit="1" customWidth="1"/>
    <col min="10241" max="10241" width="16.33203125" style="617" customWidth="1"/>
    <col min="10242" max="10242" width="22.6640625" style="617" bestFit="1" customWidth="1"/>
    <col min="10243" max="10244" width="18" style="617" bestFit="1" customWidth="1"/>
    <col min="10245" max="10245" width="12.6640625" style="617" customWidth="1"/>
    <col min="10246" max="10246" width="18.1640625" style="617" bestFit="1" customWidth="1"/>
    <col min="10247" max="10247" width="9.33203125" style="617"/>
    <col min="10248" max="10248" width="11.5" style="617" bestFit="1" customWidth="1"/>
    <col min="10249" max="10493" width="9.33203125" style="617"/>
    <col min="10494" max="10494" width="14.83203125" style="617" customWidth="1"/>
    <col min="10495" max="10495" width="20.33203125" style="617" customWidth="1"/>
    <col min="10496" max="10496" width="18.6640625" style="617" bestFit="1" customWidth="1"/>
    <col min="10497" max="10497" width="16.33203125" style="617" customWidth="1"/>
    <col min="10498" max="10498" width="22.6640625" style="617" bestFit="1" customWidth="1"/>
    <col min="10499" max="10500" width="18" style="617" bestFit="1" customWidth="1"/>
    <col min="10501" max="10501" width="12.6640625" style="617" customWidth="1"/>
    <col min="10502" max="10502" width="18.1640625" style="617" bestFit="1" customWidth="1"/>
    <col min="10503" max="10503" width="9.33203125" style="617"/>
    <col min="10504" max="10504" width="11.5" style="617" bestFit="1" customWidth="1"/>
    <col min="10505" max="10749" width="9.33203125" style="617"/>
    <col min="10750" max="10750" width="14.83203125" style="617" customWidth="1"/>
    <col min="10751" max="10751" width="20.33203125" style="617" customWidth="1"/>
    <col min="10752" max="10752" width="18.6640625" style="617" bestFit="1" customWidth="1"/>
    <col min="10753" max="10753" width="16.33203125" style="617" customWidth="1"/>
    <col min="10754" max="10754" width="22.6640625" style="617" bestFit="1" customWidth="1"/>
    <col min="10755" max="10756" width="18" style="617" bestFit="1" customWidth="1"/>
    <col min="10757" max="10757" width="12.6640625" style="617" customWidth="1"/>
    <col min="10758" max="10758" width="18.1640625" style="617" bestFit="1" customWidth="1"/>
    <col min="10759" max="10759" width="9.33203125" style="617"/>
    <col min="10760" max="10760" width="11.5" style="617" bestFit="1" customWidth="1"/>
    <col min="10761" max="11005" width="9.33203125" style="617"/>
    <col min="11006" max="11006" width="14.83203125" style="617" customWidth="1"/>
    <col min="11007" max="11007" width="20.33203125" style="617" customWidth="1"/>
    <col min="11008" max="11008" width="18.6640625" style="617" bestFit="1" customWidth="1"/>
    <col min="11009" max="11009" width="16.33203125" style="617" customWidth="1"/>
    <col min="11010" max="11010" width="22.6640625" style="617" bestFit="1" customWidth="1"/>
    <col min="11011" max="11012" width="18" style="617" bestFit="1" customWidth="1"/>
    <col min="11013" max="11013" width="12.6640625" style="617" customWidth="1"/>
    <col min="11014" max="11014" width="18.1640625" style="617" bestFit="1" customWidth="1"/>
    <col min="11015" max="11015" width="9.33203125" style="617"/>
    <col min="11016" max="11016" width="11.5" style="617" bestFit="1" customWidth="1"/>
    <col min="11017" max="11261" width="9.33203125" style="617"/>
    <col min="11262" max="11262" width="14.83203125" style="617" customWidth="1"/>
    <col min="11263" max="11263" width="20.33203125" style="617" customWidth="1"/>
    <col min="11264" max="11264" width="18.6640625" style="617" bestFit="1" customWidth="1"/>
    <col min="11265" max="11265" width="16.33203125" style="617" customWidth="1"/>
    <col min="11266" max="11266" width="22.6640625" style="617" bestFit="1" customWidth="1"/>
    <col min="11267" max="11268" width="18" style="617" bestFit="1" customWidth="1"/>
    <col min="11269" max="11269" width="12.6640625" style="617" customWidth="1"/>
    <col min="11270" max="11270" width="18.1640625" style="617" bestFit="1" customWidth="1"/>
    <col min="11271" max="11271" width="9.33203125" style="617"/>
    <col min="11272" max="11272" width="11.5" style="617" bestFit="1" customWidth="1"/>
    <col min="11273" max="11517" width="9.33203125" style="617"/>
    <col min="11518" max="11518" width="14.83203125" style="617" customWidth="1"/>
    <col min="11519" max="11519" width="20.33203125" style="617" customWidth="1"/>
    <col min="11520" max="11520" width="18.6640625" style="617" bestFit="1" customWidth="1"/>
    <col min="11521" max="11521" width="16.33203125" style="617" customWidth="1"/>
    <col min="11522" max="11522" width="22.6640625" style="617" bestFit="1" customWidth="1"/>
    <col min="11523" max="11524" width="18" style="617" bestFit="1" customWidth="1"/>
    <col min="11525" max="11525" width="12.6640625" style="617" customWidth="1"/>
    <col min="11526" max="11526" width="18.1640625" style="617" bestFit="1" customWidth="1"/>
    <col min="11527" max="11527" width="9.33203125" style="617"/>
    <col min="11528" max="11528" width="11.5" style="617" bestFit="1" customWidth="1"/>
    <col min="11529" max="11773" width="9.33203125" style="617"/>
    <col min="11774" max="11774" width="14.83203125" style="617" customWidth="1"/>
    <col min="11775" max="11775" width="20.33203125" style="617" customWidth="1"/>
    <col min="11776" max="11776" width="18.6640625" style="617" bestFit="1" customWidth="1"/>
    <col min="11777" max="11777" width="16.33203125" style="617" customWidth="1"/>
    <col min="11778" max="11778" width="22.6640625" style="617" bestFit="1" customWidth="1"/>
    <col min="11779" max="11780" width="18" style="617" bestFit="1" customWidth="1"/>
    <col min="11781" max="11781" width="12.6640625" style="617" customWidth="1"/>
    <col min="11782" max="11782" width="18.1640625" style="617" bestFit="1" customWidth="1"/>
    <col min="11783" max="11783" width="9.33203125" style="617"/>
    <col min="11784" max="11784" width="11.5" style="617" bestFit="1" customWidth="1"/>
    <col min="11785" max="12029" width="9.33203125" style="617"/>
    <col min="12030" max="12030" width="14.83203125" style="617" customWidth="1"/>
    <col min="12031" max="12031" width="20.33203125" style="617" customWidth="1"/>
    <col min="12032" max="12032" width="18.6640625" style="617" bestFit="1" customWidth="1"/>
    <col min="12033" max="12033" width="16.33203125" style="617" customWidth="1"/>
    <col min="12034" max="12034" width="22.6640625" style="617" bestFit="1" customWidth="1"/>
    <col min="12035" max="12036" width="18" style="617" bestFit="1" customWidth="1"/>
    <col min="12037" max="12037" width="12.6640625" style="617" customWidth="1"/>
    <col min="12038" max="12038" width="18.1640625" style="617" bestFit="1" customWidth="1"/>
    <col min="12039" max="12039" width="9.33203125" style="617"/>
    <col min="12040" max="12040" width="11.5" style="617" bestFit="1" customWidth="1"/>
    <col min="12041" max="12285" width="9.33203125" style="617"/>
    <col min="12286" max="12286" width="14.83203125" style="617" customWidth="1"/>
    <col min="12287" max="12287" width="20.33203125" style="617" customWidth="1"/>
    <col min="12288" max="12288" width="18.6640625" style="617" bestFit="1" customWidth="1"/>
    <col min="12289" max="12289" width="16.33203125" style="617" customWidth="1"/>
    <col min="12290" max="12290" width="22.6640625" style="617" bestFit="1" customWidth="1"/>
    <col min="12291" max="12292" width="18" style="617" bestFit="1" customWidth="1"/>
    <col min="12293" max="12293" width="12.6640625" style="617" customWidth="1"/>
    <col min="12294" max="12294" width="18.1640625" style="617" bestFit="1" customWidth="1"/>
    <col min="12295" max="12295" width="9.33203125" style="617"/>
    <col min="12296" max="12296" width="11.5" style="617" bestFit="1" customWidth="1"/>
    <col min="12297" max="12541" width="9.33203125" style="617"/>
    <col min="12542" max="12542" width="14.83203125" style="617" customWidth="1"/>
    <col min="12543" max="12543" width="20.33203125" style="617" customWidth="1"/>
    <col min="12544" max="12544" width="18.6640625" style="617" bestFit="1" customWidth="1"/>
    <col min="12545" max="12545" width="16.33203125" style="617" customWidth="1"/>
    <col min="12546" max="12546" width="22.6640625" style="617" bestFit="1" customWidth="1"/>
    <col min="12547" max="12548" width="18" style="617" bestFit="1" customWidth="1"/>
    <col min="12549" max="12549" width="12.6640625" style="617" customWidth="1"/>
    <col min="12550" max="12550" width="18.1640625" style="617" bestFit="1" customWidth="1"/>
    <col min="12551" max="12551" width="9.33203125" style="617"/>
    <col min="12552" max="12552" width="11.5" style="617" bestFit="1" customWidth="1"/>
    <col min="12553" max="12797" width="9.33203125" style="617"/>
    <col min="12798" max="12798" width="14.83203125" style="617" customWidth="1"/>
    <col min="12799" max="12799" width="20.33203125" style="617" customWidth="1"/>
    <col min="12800" max="12800" width="18.6640625" style="617" bestFit="1" customWidth="1"/>
    <col min="12801" max="12801" width="16.33203125" style="617" customWidth="1"/>
    <col min="12802" max="12802" width="22.6640625" style="617" bestFit="1" customWidth="1"/>
    <col min="12803" max="12804" width="18" style="617" bestFit="1" customWidth="1"/>
    <col min="12805" max="12805" width="12.6640625" style="617" customWidth="1"/>
    <col min="12806" max="12806" width="18.1640625" style="617" bestFit="1" customWidth="1"/>
    <col min="12807" max="12807" width="9.33203125" style="617"/>
    <col min="12808" max="12808" width="11.5" style="617" bestFit="1" customWidth="1"/>
    <col min="12809" max="13053" width="9.33203125" style="617"/>
    <col min="13054" max="13054" width="14.83203125" style="617" customWidth="1"/>
    <col min="13055" max="13055" width="20.33203125" style="617" customWidth="1"/>
    <col min="13056" max="13056" width="18.6640625" style="617" bestFit="1" customWidth="1"/>
    <col min="13057" max="13057" width="16.33203125" style="617" customWidth="1"/>
    <col min="13058" max="13058" width="22.6640625" style="617" bestFit="1" customWidth="1"/>
    <col min="13059" max="13060" width="18" style="617" bestFit="1" customWidth="1"/>
    <col min="13061" max="13061" width="12.6640625" style="617" customWidth="1"/>
    <col min="13062" max="13062" width="18.1640625" style="617" bestFit="1" customWidth="1"/>
    <col min="13063" max="13063" width="9.33203125" style="617"/>
    <col min="13064" max="13064" width="11.5" style="617" bestFit="1" customWidth="1"/>
    <col min="13065" max="13309" width="9.33203125" style="617"/>
    <col min="13310" max="13310" width="14.83203125" style="617" customWidth="1"/>
    <col min="13311" max="13311" width="20.33203125" style="617" customWidth="1"/>
    <col min="13312" max="13312" width="18.6640625" style="617" bestFit="1" customWidth="1"/>
    <col min="13313" max="13313" width="16.33203125" style="617" customWidth="1"/>
    <col min="13314" max="13314" width="22.6640625" style="617" bestFit="1" customWidth="1"/>
    <col min="13315" max="13316" width="18" style="617" bestFit="1" customWidth="1"/>
    <col min="13317" max="13317" width="12.6640625" style="617" customWidth="1"/>
    <col min="13318" max="13318" width="18.1640625" style="617" bestFit="1" customWidth="1"/>
    <col min="13319" max="13319" width="9.33203125" style="617"/>
    <col min="13320" max="13320" width="11.5" style="617" bestFit="1" customWidth="1"/>
    <col min="13321" max="13565" width="9.33203125" style="617"/>
    <col min="13566" max="13566" width="14.83203125" style="617" customWidth="1"/>
    <col min="13567" max="13567" width="20.33203125" style="617" customWidth="1"/>
    <col min="13568" max="13568" width="18.6640625" style="617" bestFit="1" customWidth="1"/>
    <col min="13569" max="13569" width="16.33203125" style="617" customWidth="1"/>
    <col min="13570" max="13570" width="22.6640625" style="617" bestFit="1" customWidth="1"/>
    <col min="13571" max="13572" width="18" style="617" bestFit="1" customWidth="1"/>
    <col min="13573" max="13573" width="12.6640625" style="617" customWidth="1"/>
    <col min="13574" max="13574" width="18.1640625" style="617" bestFit="1" customWidth="1"/>
    <col min="13575" max="13575" width="9.33203125" style="617"/>
    <col min="13576" max="13576" width="11.5" style="617" bestFit="1" customWidth="1"/>
    <col min="13577" max="13821" width="9.33203125" style="617"/>
    <col min="13822" max="13822" width="14.83203125" style="617" customWidth="1"/>
    <col min="13823" max="13823" width="20.33203125" style="617" customWidth="1"/>
    <col min="13824" max="13824" width="18.6640625" style="617" bestFit="1" customWidth="1"/>
    <col min="13825" max="13825" width="16.33203125" style="617" customWidth="1"/>
    <col min="13826" max="13826" width="22.6640625" style="617" bestFit="1" customWidth="1"/>
    <col min="13827" max="13828" width="18" style="617" bestFit="1" customWidth="1"/>
    <col min="13829" max="13829" width="12.6640625" style="617" customWidth="1"/>
    <col min="13830" max="13830" width="18.1640625" style="617" bestFit="1" customWidth="1"/>
    <col min="13831" max="13831" width="9.33203125" style="617"/>
    <col min="13832" max="13832" width="11.5" style="617" bestFit="1" customWidth="1"/>
    <col min="13833" max="14077" width="9.33203125" style="617"/>
    <col min="14078" max="14078" width="14.83203125" style="617" customWidth="1"/>
    <col min="14079" max="14079" width="20.33203125" style="617" customWidth="1"/>
    <col min="14080" max="14080" width="18.6640625" style="617" bestFit="1" customWidth="1"/>
    <col min="14081" max="14081" width="16.33203125" style="617" customWidth="1"/>
    <col min="14082" max="14082" width="22.6640625" style="617" bestFit="1" customWidth="1"/>
    <col min="14083" max="14084" width="18" style="617" bestFit="1" customWidth="1"/>
    <col min="14085" max="14085" width="12.6640625" style="617" customWidth="1"/>
    <col min="14086" max="14086" width="18.1640625" style="617" bestFit="1" customWidth="1"/>
    <col min="14087" max="14087" width="9.33203125" style="617"/>
    <col min="14088" max="14088" width="11.5" style="617" bestFit="1" customWidth="1"/>
    <col min="14089" max="14333" width="9.33203125" style="617"/>
    <col min="14334" max="14334" width="14.83203125" style="617" customWidth="1"/>
    <col min="14335" max="14335" width="20.33203125" style="617" customWidth="1"/>
    <col min="14336" max="14336" width="18.6640625" style="617" bestFit="1" customWidth="1"/>
    <col min="14337" max="14337" width="16.33203125" style="617" customWidth="1"/>
    <col min="14338" max="14338" width="22.6640625" style="617" bestFit="1" customWidth="1"/>
    <col min="14339" max="14340" width="18" style="617" bestFit="1" customWidth="1"/>
    <col min="14341" max="14341" width="12.6640625" style="617" customWidth="1"/>
    <col min="14342" max="14342" width="18.1640625" style="617" bestFit="1" customWidth="1"/>
    <col min="14343" max="14343" width="9.33203125" style="617"/>
    <col min="14344" max="14344" width="11.5" style="617" bestFit="1" customWidth="1"/>
    <col min="14345" max="14589" width="9.33203125" style="617"/>
    <col min="14590" max="14590" width="14.83203125" style="617" customWidth="1"/>
    <col min="14591" max="14591" width="20.33203125" style="617" customWidth="1"/>
    <col min="14592" max="14592" width="18.6640625" style="617" bestFit="1" customWidth="1"/>
    <col min="14593" max="14593" width="16.33203125" style="617" customWidth="1"/>
    <col min="14594" max="14594" width="22.6640625" style="617" bestFit="1" customWidth="1"/>
    <col min="14595" max="14596" width="18" style="617" bestFit="1" customWidth="1"/>
    <col min="14597" max="14597" width="12.6640625" style="617" customWidth="1"/>
    <col min="14598" max="14598" width="18.1640625" style="617" bestFit="1" customWidth="1"/>
    <col min="14599" max="14599" width="9.33203125" style="617"/>
    <col min="14600" max="14600" width="11.5" style="617" bestFit="1" customWidth="1"/>
    <col min="14601" max="14845" width="9.33203125" style="617"/>
    <col min="14846" max="14846" width="14.83203125" style="617" customWidth="1"/>
    <col min="14847" max="14847" width="20.33203125" style="617" customWidth="1"/>
    <col min="14848" max="14848" width="18.6640625" style="617" bestFit="1" customWidth="1"/>
    <col min="14849" max="14849" width="16.33203125" style="617" customWidth="1"/>
    <col min="14850" max="14850" width="22.6640625" style="617" bestFit="1" customWidth="1"/>
    <col min="14851" max="14852" width="18" style="617" bestFit="1" customWidth="1"/>
    <col min="14853" max="14853" width="12.6640625" style="617" customWidth="1"/>
    <col min="14854" max="14854" width="18.1640625" style="617" bestFit="1" customWidth="1"/>
    <col min="14855" max="14855" width="9.33203125" style="617"/>
    <col min="14856" max="14856" width="11.5" style="617" bestFit="1" customWidth="1"/>
    <col min="14857" max="15101" width="9.33203125" style="617"/>
    <col min="15102" max="15102" width="14.83203125" style="617" customWidth="1"/>
    <col min="15103" max="15103" width="20.33203125" style="617" customWidth="1"/>
    <col min="15104" max="15104" width="18.6640625" style="617" bestFit="1" customWidth="1"/>
    <col min="15105" max="15105" width="16.33203125" style="617" customWidth="1"/>
    <col min="15106" max="15106" width="22.6640625" style="617" bestFit="1" customWidth="1"/>
    <col min="15107" max="15108" width="18" style="617" bestFit="1" customWidth="1"/>
    <col min="15109" max="15109" width="12.6640625" style="617" customWidth="1"/>
    <col min="15110" max="15110" width="18.1640625" style="617" bestFit="1" customWidth="1"/>
    <col min="15111" max="15111" width="9.33203125" style="617"/>
    <col min="15112" max="15112" width="11.5" style="617" bestFit="1" customWidth="1"/>
    <col min="15113" max="15357" width="9.33203125" style="617"/>
    <col min="15358" max="15358" width="14.83203125" style="617" customWidth="1"/>
    <col min="15359" max="15359" width="20.33203125" style="617" customWidth="1"/>
    <col min="15360" max="15360" width="18.6640625" style="617" bestFit="1" customWidth="1"/>
    <col min="15361" max="15361" width="16.33203125" style="617" customWidth="1"/>
    <col min="15362" max="15362" width="22.6640625" style="617" bestFit="1" customWidth="1"/>
    <col min="15363" max="15364" width="18" style="617" bestFit="1" customWidth="1"/>
    <col min="15365" max="15365" width="12.6640625" style="617" customWidth="1"/>
    <col min="15366" max="15366" width="18.1640625" style="617" bestFit="1" customWidth="1"/>
    <col min="15367" max="15367" width="9.33203125" style="617"/>
    <col min="15368" max="15368" width="11.5" style="617" bestFit="1" customWidth="1"/>
    <col min="15369" max="15613" width="9.33203125" style="617"/>
    <col min="15614" max="15614" width="14.83203125" style="617" customWidth="1"/>
    <col min="15615" max="15615" width="20.33203125" style="617" customWidth="1"/>
    <col min="15616" max="15616" width="18.6640625" style="617" bestFit="1" customWidth="1"/>
    <col min="15617" max="15617" width="16.33203125" style="617" customWidth="1"/>
    <col min="15618" max="15618" width="22.6640625" style="617" bestFit="1" customWidth="1"/>
    <col min="15619" max="15620" width="18" style="617" bestFit="1" customWidth="1"/>
    <col min="15621" max="15621" width="12.6640625" style="617" customWidth="1"/>
    <col min="15622" max="15622" width="18.1640625" style="617" bestFit="1" customWidth="1"/>
    <col min="15623" max="15623" width="9.33203125" style="617"/>
    <col min="15624" max="15624" width="11.5" style="617" bestFit="1" customWidth="1"/>
    <col min="15625" max="15869" width="9.33203125" style="617"/>
    <col min="15870" max="15870" width="14.83203125" style="617" customWidth="1"/>
    <col min="15871" max="15871" width="20.33203125" style="617" customWidth="1"/>
    <col min="15872" max="15872" width="18.6640625" style="617" bestFit="1" customWidth="1"/>
    <col min="15873" max="15873" width="16.33203125" style="617" customWidth="1"/>
    <col min="15874" max="15874" width="22.6640625" style="617" bestFit="1" customWidth="1"/>
    <col min="15875" max="15876" width="18" style="617" bestFit="1" customWidth="1"/>
    <col min="15877" max="15877" width="12.6640625" style="617" customWidth="1"/>
    <col min="15878" max="15878" width="18.1640625" style="617" bestFit="1" customWidth="1"/>
    <col min="15879" max="15879" width="9.33203125" style="617"/>
    <col min="15880" max="15880" width="11.5" style="617" bestFit="1" customWidth="1"/>
    <col min="15881" max="16125" width="9.33203125" style="617"/>
    <col min="16126" max="16126" width="14.83203125" style="617" customWidth="1"/>
    <col min="16127" max="16127" width="20.33203125" style="617" customWidth="1"/>
    <col min="16128" max="16128" width="18.6640625" style="617" bestFit="1" customWidth="1"/>
    <col min="16129" max="16129" width="16.33203125" style="617" customWidth="1"/>
    <col min="16130" max="16130" width="22.6640625" style="617" bestFit="1" customWidth="1"/>
    <col min="16131" max="16132" width="18" style="617" bestFit="1" customWidth="1"/>
    <col min="16133" max="16133" width="12.6640625" style="617" customWidth="1"/>
    <col min="16134" max="16134" width="18.1640625" style="617" bestFit="1" customWidth="1"/>
    <col min="16135" max="16135" width="9.33203125" style="617"/>
    <col min="16136" max="16136" width="11.5" style="617" bestFit="1" customWidth="1"/>
    <col min="16137" max="16384" width="9.33203125" style="617"/>
  </cols>
  <sheetData>
    <row r="2" spans="2:6" ht="47.25" customHeight="1" x14ac:dyDescent="0.3">
      <c r="B2" s="2218" t="s">
        <v>1105</v>
      </c>
      <c r="C2" s="2218"/>
      <c r="D2" s="2218"/>
      <c r="E2" s="2218"/>
      <c r="F2" s="616"/>
    </row>
    <row r="3" spans="2:6" ht="24.75" customHeight="1" x14ac:dyDescent="0.3">
      <c r="B3" s="2219" t="s">
        <v>1106</v>
      </c>
      <c r="C3" s="2219"/>
      <c r="D3" s="2219"/>
      <c r="E3" s="2219"/>
      <c r="F3" s="616"/>
    </row>
    <row r="4" spans="2:6" ht="16.5" customHeight="1" x14ac:dyDescent="0.3">
      <c r="B4" s="970"/>
      <c r="C4" s="970"/>
      <c r="D4" s="970"/>
      <c r="E4" s="970"/>
    </row>
    <row r="5" spans="2:6" ht="19.5" thickBot="1" x14ac:dyDescent="0.35">
      <c r="B5" s="1410"/>
      <c r="C5" s="1410"/>
      <c r="D5" s="1410"/>
      <c r="E5" s="1411" t="s">
        <v>1107</v>
      </c>
    </row>
    <row r="6" spans="2:6" ht="36.75" customHeight="1" x14ac:dyDescent="0.2">
      <c r="B6" s="2220" t="s">
        <v>1108</v>
      </c>
      <c r="C6" s="2222" t="s">
        <v>1109</v>
      </c>
      <c r="D6" s="2223"/>
      <c r="E6" s="2224"/>
    </row>
    <row r="7" spans="2:6" ht="29.25" customHeight="1" thickBot="1" x14ac:dyDescent="0.25">
      <c r="B7" s="2221"/>
      <c r="C7" s="1412" t="s">
        <v>1110</v>
      </c>
      <c r="D7" s="1413" t="s">
        <v>1111</v>
      </c>
      <c r="E7" s="1414" t="s">
        <v>668</v>
      </c>
    </row>
    <row r="8" spans="2:6" ht="22.5" customHeight="1" x14ac:dyDescent="0.3">
      <c r="B8" s="1415" t="s">
        <v>654</v>
      </c>
      <c r="C8" s="1416">
        <v>120749366</v>
      </c>
      <c r="D8" s="1417">
        <v>19524143</v>
      </c>
      <c r="E8" s="1418">
        <f t="shared" ref="E8:E17" si="0">SUM(C8:D8)</f>
        <v>140273509</v>
      </c>
    </row>
    <row r="9" spans="2:6" ht="22.5" customHeight="1" x14ac:dyDescent="0.3">
      <c r="B9" s="1415" t="s">
        <v>1112</v>
      </c>
      <c r="C9" s="1416">
        <v>120749360</v>
      </c>
      <c r="D9" s="1417">
        <v>17176455</v>
      </c>
      <c r="E9" s="1418">
        <f t="shared" si="0"/>
        <v>137925815</v>
      </c>
    </row>
    <row r="10" spans="2:6" ht="22.5" customHeight="1" x14ac:dyDescent="0.3">
      <c r="B10" s="1415" t="s">
        <v>1113</v>
      </c>
      <c r="C10" s="1416">
        <v>120749362</v>
      </c>
      <c r="D10" s="1417">
        <v>14603757</v>
      </c>
      <c r="E10" s="1418">
        <f t="shared" si="0"/>
        <v>135353119</v>
      </c>
    </row>
    <row r="11" spans="2:6" ht="22.5" customHeight="1" x14ac:dyDescent="0.3">
      <c r="B11" s="1415" t="s">
        <v>1114</v>
      </c>
      <c r="C11" s="1416">
        <v>120749368</v>
      </c>
      <c r="D11" s="1417">
        <v>12206712</v>
      </c>
      <c r="E11" s="1418">
        <f t="shared" si="0"/>
        <v>132956080</v>
      </c>
    </row>
    <row r="12" spans="2:6" ht="22.5" customHeight="1" x14ac:dyDescent="0.3">
      <c r="B12" s="1415" t="s">
        <v>1115</v>
      </c>
      <c r="C12" s="1416">
        <v>120749366</v>
      </c>
      <c r="D12" s="1417">
        <v>9765895</v>
      </c>
      <c r="E12" s="1418">
        <f t="shared" si="0"/>
        <v>130515261</v>
      </c>
    </row>
    <row r="13" spans="2:6" ht="22.5" customHeight="1" x14ac:dyDescent="0.3">
      <c r="B13" s="1415" t="s">
        <v>1116</v>
      </c>
      <c r="C13" s="1416">
        <v>120749364</v>
      </c>
      <c r="D13" s="1417">
        <v>7351033</v>
      </c>
      <c r="E13" s="1418">
        <f t="shared" si="0"/>
        <v>128100397</v>
      </c>
    </row>
    <row r="14" spans="2:6" ht="22.5" customHeight="1" x14ac:dyDescent="0.3">
      <c r="B14" s="1415" t="s">
        <v>1117</v>
      </c>
      <c r="C14" s="1416">
        <v>120749363</v>
      </c>
      <c r="D14" s="1417">
        <v>4908849</v>
      </c>
      <c r="E14" s="1418">
        <f t="shared" si="0"/>
        <v>125658212</v>
      </c>
    </row>
    <row r="15" spans="2:6" ht="22.5" customHeight="1" x14ac:dyDescent="0.3">
      <c r="B15" s="1415" t="s">
        <v>1118</v>
      </c>
      <c r="C15" s="1416">
        <v>120749364</v>
      </c>
      <c r="D15" s="1417">
        <v>2432567</v>
      </c>
      <c r="E15" s="1418">
        <f t="shared" si="0"/>
        <v>123181931</v>
      </c>
    </row>
    <row r="16" spans="2:6" ht="22.5" customHeight="1" thickBot="1" x14ac:dyDescent="0.35">
      <c r="B16" s="1419" t="s">
        <v>1119</v>
      </c>
      <c r="C16" s="1420">
        <v>55343458</v>
      </c>
      <c r="D16" s="1421">
        <v>324975</v>
      </c>
      <c r="E16" s="1422">
        <f t="shared" si="0"/>
        <v>55668433</v>
      </c>
    </row>
    <row r="17" spans="2:6" s="620" customFormat="1" ht="53.25" customHeight="1" thickBot="1" x14ac:dyDescent="0.25">
      <c r="B17" s="1423" t="s">
        <v>1187</v>
      </c>
      <c r="C17" s="1424">
        <f>SUM(C8:C16)</f>
        <v>1021338371</v>
      </c>
      <c r="D17" s="1425">
        <f>SUM(D8:D16)</f>
        <v>88294386</v>
      </c>
      <c r="E17" s="1426">
        <f t="shared" si="0"/>
        <v>1109632757</v>
      </c>
      <c r="F17" s="619"/>
    </row>
    <row r="18" spans="2:6" x14ac:dyDescent="0.2">
      <c r="C18" s="621"/>
      <c r="D18" s="621"/>
      <c r="E18" s="621"/>
    </row>
    <row r="19" spans="2:6" x14ac:dyDescent="0.2">
      <c r="C19" s="622"/>
      <c r="D19" s="623"/>
      <c r="E19" s="621"/>
    </row>
    <row r="20" spans="2:6" x14ac:dyDescent="0.2">
      <c r="C20" s="624"/>
      <c r="D20" s="624"/>
      <c r="E20" s="624"/>
    </row>
    <row r="21" spans="2:6" x14ac:dyDescent="0.2">
      <c r="C21" s="624"/>
      <c r="D21" s="624"/>
      <c r="E21" s="624"/>
    </row>
    <row r="24" spans="2:6" x14ac:dyDescent="0.2">
      <c r="C24" s="618"/>
      <c r="D24" s="621"/>
    </row>
    <row r="25" spans="2:6" x14ac:dyDescent="0.2">
      <c r="C25" s="618"/>
      <c r="D25" s="621"/>
    </row>
  </sheetData>
  <mergeCells count="4">
    <mergeCell ref="B2:E2"/>
    <mergeCell ref="B3:E3"/>
    <mergeCell ref="B6:B7"/>
    <mergeCell ref="C6:E6"/>
  </mergeCells>
  <printOptions horizontalCentered="1" verticalCentered="1"/>
  <pageMargins left="0.9055118110236221" right="0.9055118110236221" top="0.74803149606299213" bottom="0.74803149606299213" header="0.31496062992125984" footer="0.31496062992125984"/>
  <pageSetup paperSize="9" scale="95" orientation="portrait" r:id="rId1"/>
  <headerFooter>
    <oddHeader xml:space="preserve">&amp;R&amp;"Calibri,Félkövér"&amp;11  &amp;"-,Félkövér"30. melléklet a 13/2023. (V.26.) önkormányzati rendelethez&amp;10
 &amp;"Arial,Félkövér"&amp;8
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B6CEC-C99D-4809-92BA-C53D0AB38DFB}">
  <dimension ref="A1:BO55"/>
  <sheetViews>
    <sheetView view="pageBreakPreview" zoomScale="50" zoomScaleNormal="50" zoomScaleSheetLayoutView="50" workbookViewId="0">
      <pane xSplit="1" ySplit="8" topLeftCell="AN9" activePane="bottomRight" state="frozen"/>
      <selection activeCell="C134" sqref="C134"/>
      <selection pane="topRight" activeCell="C134" sqref="C134"/>
      <selection pane="bottomLeft" activeCell="C134" sqref="C134"/>
      <selection pane="bottomRight" activeCell="C134" sqref="C134"/>
    </sheetView>
  </sheetViews>
  <sheetFormatPr defaultRowHeight="26.45" customHeight="1" x14ac:dyDescent="0.6"/>
  <cols>
    <col min="1" max="1" width="199.33203125" style="1639" customWidth="1"/>
    <col min="2" max="4" width="47.83203125" style="1640" customWidth="1"/>
    <col min="5" max="5" width="43.6640625" style="1640" customWidth="1"/>
    <col min="6" max="8" width="47.83203125" style="1640" customWidth="1"/>
    <col min="9" max="9" width="43.6640625" style="1640" customWidth="1"/>
    <col min="10" max="12" width="47.83203125" style="1640" customWidth="1"/>
    <col min="13" max="13" width="43.6640625" style="1640" customWidth="1"/>
    <col min="14" max="16" width="47.83203125" style="1640" customWidth="1"/>
    <col min="17" max="17" width="45" style="1640" customWidth="1"/>
    <col min="18" max="20" width="47.83203125" style="1640" customWidth="1"/>
    <col min="21" max="21" width="43.6640625" style="1640" customWidth="1"/>
    <col min="22" max="22" width="200" style="1642" customWidth="1"/>
    <col min="23" max="25" width="47.33203125" style="1640" customWidth="1"/>
    <col min="26" max="26" width="43.6640625" style="1640" customWidth="1"/>
    <col min="27" max="29" width="47.33203125" style="1640" customWidth="1"/>
    <col min="30" max="30" width="44" style="1640" customWidth="1"/>
    <col min="31" max="33" width="47.33203125" style="1640" customWidth="1"/>
    <col min="34" max="34" width="43.6640625" style="1640" customWidth="1"/>
    <col min="35" max="37" width="47.33203125" style="1640" customWidth="1"/>
    <col min="38" max="38" width="43.6640625" style="1640" customWidth="1"/>
    <col min="39" max="41" width="47.83203125" style="1639" customWidth="1"/>
    <col min="42" max="42" width="43.6640625" style="1639" customWidth="1"/>
    <col min="43" max="43" width="200.6640625" style="1642" customWidth="1"/>
    <col min="44" max="53" width="56" style="1639" customWidth="1"/>
    <col min="54" max="57" width="56" style="1641" customWidth="1"/>
    <col min="58" max="59" width="56" style="1640" customWidth="1"/>
    <col min="60" max="60" width="59" style="1639" customWidth="1"/>
    <col min="61" max="61" width="46" style="1639" customWidth="1"/>
    <col min="62" max="256" width="9.33203125" style="805"/>
    <col min="257" max="257" width="193.33203125" style="805" customWidth="1"/>
    <col min="258" max="258" width="47.1640625" style="805" customWidth="1"/>
    <col min="259" max="259" width="47.33203125" style="805" customWidth="1"/>
    <col min="260" max="260" width="47.1640625" style="805" customWidth="1"/>
    <col min="261" max="261" width="43.6640625" style="805" customWidth="1"/>
    <col min="262" max="263" width="47.33203125" style="805" customWidth="1"/>
    <col min="264" max="264" width="47.1640625" style="805" customWidth="1"/>
    <col min="265" max="265" width="43.6640625" style="805" customWidth="1"/>
    <col min="266" max="267" width="47.33203125" style="805" customWidth="1"/>
    <col min="268" max="268" width="47.1640625" style="805" customWidth="1"/>
    <col min="269" max="269" width="43.6640625" style="805" customWidth="1"/>
    <col min="270" max="271" width="45" style="805" customWidth="1"/>
    <col min="272" max="272" width="44.83203125" style="805" customWidth="1"/>
    <col min="273" max="273" width="45" style="805" customWidth="1"/>
    <col min="274" max="275" width="47.33203125" style="805" customWidth="1"/>
    <col min="276" max="276" width="47.1640625" style="805" customWidth="1"/>
    <col min="277" max="277" width="43.6640625" style="805" customWidth="1"/>
    <col min="278" max="278" width="193.33203125" style="805" customWidth="1"/>
    <col min="279" max="281" width="47.33203125" style="805" customWidth="1"/>
    <col min="282" max="282" width="43.6640625" style="805" customWidth="1"/>
    <col min="283" max="285" width="47.33203125" style="805" customWidth="1"/>
    <col min="286" max="286" width="44" style="805" customWidth="1"/>
    <col min="287" max="289" width="47.33203125" style="805" customWidth="1"/>
    <col min="290" max="290" width="43.6640625" style="805" customWidth="1"/>
    <col min="291" max="293" width="47.33203125" style="805" customWidth="1"/>
    <col min="294" max="294" width="43.6640625" style="805" customWidth="1"/>
    <col min="295" max="297" width="47.33203125" style="805" customWidth="1"/>
    <col min="298" max="298" width="43.6640625" style="805" customWidth="1"/>
    <col min="299" max="299" width="193.33203125" style="805" customWidth="1"/>
    <col min="300" max="315" width="56" style="805" customWidth="1"/>
    <col min="316" max="316" width="59" style="805" customWidth="1"/>
    <col min="317" max="317" width="46" style="805" customWidth="1"/>
    <col min="318" max="512" width="9.33203125" style="805"/>
    <col min="513" max="513" width="193.33203125" style="805" customWidth="1"/>
    <col min="514" max="514" width="47.1640625" style="805" customWidth="1"/>
    <col min="515" max="515" width="47.33203125" style="805" customWidth="1"/>
    <col min="516" max="516" width="47.1640625" style="805" customWidth="1"/>
    <col min="517" max="517" width="43.6640625" style="805" customWidth="1"/>
    <col min="518" max="519" width="47.33203125" style="805" customWidth="1"/>
    <col min="520" max="520" width="47.1640625" style="805" customWidth="1"/>
    <col min="521" max="521" width="43.6640625" style="805" customWidth="1"/>
    <col min="522" max="523" width="47.33203125" style="805" customWidth="1"/>
    <col min="524" max="524" width="47.1640625" style="805" customWidth="1"/>
    <col min="525" max="525" width="43.6640625" style="805" customWidth="1"/>
    <col min="526" max="527" width="45" style="805" customWidth="1"/>
    <col min="528" max="528" width="44.83203125" style="805" customWidth="1"/>
    <col min="529" max="529" width="45" style="805" customWidth="1"/>
    <col min="530" max="531" width="47.33203125" style="805" customWidth="1"/>
    <col min="532" max="532" width="47.1640625" style="805" customWidth="1"/>
    <col min="533" max="533" width="43.6640625" style="805" customWidth="1"/>
    <col min="534" max="534" width="193.33203125" style="805" customWidth="1"/>
    <col min="535" max="537" width="47.33203125" style="805" customWidth="1"/>
    <col min="538" max="538" width="43.6640625" style="805" customWidth="1"/>
    <col min="539" max="541" width="47.33203125" style="805" customWidth="1"/>
    <col min="542" max="542" width="44" style="805" customWidth="1"/>
    <col min="543" max="545" width="47.33203125" style="805" customWidth="1"/>
    <col min="546" max="546" width="43.6640625" style="805" customWidth="1"/>
    <col min="547" max="549" width="47.33203125" style="805" customWidth="1"/>
    <col min="550" max="550" width="43.6640625" style="805" customWidth="1"/>
    <col min="551" max="553" width="47.33203125" style="805" customWidth="1"/>
    <col min="554" max="554" width="43.6640625" style="805" customWidth="1"/>
    <col min="555" max="555" width="193.33203125" style="805" customWidth="1"/>
    <col min="556" max="571" width="56" style="805" customWidth="1"/>
    <col min="572" max="572" width="59" style="805" customWidth="1"/>
    <col min="573" max="573" width="46" style="805" customWidth="1"/>
    <col min="574" max="768" width="9.33203125" style="805"/>
    <col min="769" max="769" width="193.33203125" style="805" customWidth="1"/>
    <col min="770" max="770" width="47.1640625" style="805" customWidth="1"/>
    <col min="771" max="771" width="47.33203125" style="805" customWidth="1"/>
    <col min="772" max="772" width="47.1640625" style="805" customWidth="1"/>
    <col min="773" max="773" width="43.6640625" style="805" customWidth="1"/>
    <col min="774" max="775" width="47.33203125" style="805" customWidth="1"/>
    <col min="776" max="776" width="47.1640625" style="805" customWidth="1"/>
    <col min="777" max="777" width="43.6640625" style="805" customWidth="1"/>
    <col min="778" max="779" width="47.33203125" style="805" customWidth="1"/>
    <col min="780" max="780" width="47.1640625" style="805" customWidth="1"/>
    <col min="781" max="781" width="43.6640625" style="805" customWidth="1"/>
    <col min="782" max="783" width="45" style="805" customWidth="1"/>
    <col min="784" max="784" width="44.83203125" style="805" customWidth="1"/>
    <col min="785" max="785" width="45" style="805" customWidth="1"/>
    <col min="786" max="787" width="47.33203125" style="805" customWidth="1"/>
    <col min="788" max="788" width="47.1640625" style="805" customWidth="1"/>
    <col min="789" max="789" width="43.6640625" style="805" customWidth="1"/>
    <col min="790" max="790" width="193.33203125" style="805" customWidth="1"/>
    <col min="791" max="793" width="47.33203125" style="805" customWidth="1"/>
    <col min="794" max="794" width="43.6640625" style="805" customWidth="1"/>
    <col min="795" max="797" width="47.33203125" style="805" customWidth="1"/>
    <col min="798" max="798" width="44" style="805" customWidth="1"/>
    <col min="799" max="801" width="47.33203125" style="805" customWidth="1"/>
    <col min="802" max="802" width="43.6640625" style="805" customWidth="1"/>
    <col min="803" max="805" width="47.33203125" style="805" customWidth="1"/>
    <col min="806" max="806" width="43.6640625" style="805" customWidth="1"/>
    <col min="807" max="809" width="47.33203125" style="805" customWidth="1"/>
    <col min="810" max="810" width="43.6640625" style="805" customWidth="1"/>
    <col min="811" max="811" width="193.33203125" style="805" customWidth="1"/>
    <col min="812" max="827" width="56" style="805" customWidth="1"/>
    <col min="828" max="828" width="59" style="805" customWidth="1"/>
    <col min="829" max="829" width="46" style="805" customWidth="1"/>
    <col min="830" max="1024" width="9.33203125" style="805"/>
    <col min="1025" max="1025" width="193.33203125" style="805" customWidth="1"/>
    <col min="1026" max="1026" width="47.1640625" style="805" customWidth="1"/>
    <col min="1027" max="1027" width="47.33203125" style="805" customWidth="1"/>
    <col min="1028" max="1028" width="47.1640625" style="805" customWidth="1"/>
    <col min="1029" max="1029" width="43.6640625" style="805" customWidth="1"/>
    <col min="1030" max="1031" width="47.33203125" style="805" customWidth="1"/>
    <col min="1032" max="1032" width="47.1640625" style="805" customWidth="1"/>
    <col min="1033" max="1033" width="43.6640625" style="805" customWidth="1"/>
    <col min="1034" max="1035" width="47.33203125" style="805" customWidth="1"/>
    <col min="1036" max="1036" width="47.1640625" style="805" customWidth="1"/>
    <col min="1037" max="1037" width="43.6640625" style="805" customWidth="1"/>
    <col min="1038" max="1039" width="45" style="805" customWidth="1"/>
    <col min="1040" max="1040" width="44.83203125" style="805" customWidth="1"/>
    <col min="1041" max="1041" width="45" style="805" customWidth="1"/>
    <col min="1042" max="1043" width="47.33203125" style="805" customWidth="1"/>
    <col min="1044" max="1044" width="47.1640625" style="805" customWidth="1"/>
    <col min="1045" max="1045" width="43.6640625" style="805" customWidth="1"/>
    <col min="1046" max="1046" width="193.33203125" style="805" customWidth="1"/>
    <col min="1047" max="1049" width="47.33203125" style="805" customWidth="1"/>
    <col min="1050" max="1050" width="43.6640625" style="805" customWidth="1"/>
    <col min="1051" max="1053" width="47.33203125" style="805" customWidth="1"/>
    <col min="1054" max="1054" width="44" style="805" customWidth="1"/>
    <col min="1055" max="1057" width="47.33203125" style="805" customWidth="1"/>
    <col min="1058" max="1058" width="43.6640625" style="805" customWidth="1"/>
    <col min="1059" max="1061" width="47.33203125" style="805" customWidth="1"/>
    <col min="1062" max="1062" width="43.6640625" style="805" customWidth="1"/>
    <col min="1063" max="1065" width="47.33203125" style="805" customWidth="1"/>
    <col min="1066" max="1066" width="43.6640625" style="805" customWidth="1"/>
    <col min="1067" max="1067" width="193.33203125" style="805" customWidth="1"/>
    <col min="1068" max="1083" width="56" style="805" customWidth="1"/>
    <col min="1084" max="1084" width="59" style="805" customWidth="1"/>
    <col min="1085" max="1085" width="46" style="805" customWidth="1"/>
    <col min="1086" max="1280" width="9.33203125" style="805"/>
    <col min="1281" max="1281" width="193.33203125" style="805" customWidth="1"/>
    <col min="1282" max="1282" width="47.1640625" style="805" customWidth="1"/>
    <col min="1283" max="1283" width="47.33203125" style="805" customWidth="1"/>
    <col min="1284" max="1284" width="47.1640625" style="805" customWidth="1"/>
    <col min="1285" max="1285" width="43.6640625" style="805" customWidth="1"/>
    <col min="1286" max="1287" width="47.33203125" style="805" customWidth="1"/>
    <col min="1288" max="1288" width="47.1640625" style="805" customWidth="1"/>
    <col min="1289" max="1289" width="43.6640625" style="805" customWidth="1"/>
    <col min="1290" max="1291" width="47.33203125" style="805" customWidth="1"/>
    <col min="1292" max="1292" width="47.1640625" style="805" customWidth="1"/>
    <col min="1293" max="1293" width="43.6640625" style="805" customWidth="1"/>
    <col min="1294" max="1295" width="45" style="805" customWidth="1"/>
    <col min="1296" max="1296" width="44.83203125" style="805" customWidth="1"/>
    <col min="1297" max="1297" width="45" style="805" customWidth="1"/>
    <col min="1298" max="1299" width="47.33203125" style="805" customWidth="1"/>
    <col min="1300" max="1300" width="47.1640625" style="805" customWidth="1"/>
    <col min="1301" max="1301" width="43.6640625" style="805" customWidth="1"/>
    <col min="1302" max="1302" width="193.33203125" style="805" customWidth="1"/>
    <col min="1303" max="1305" width="47.33203125" style="805" customWidth="1"/>
    <col min="1306" max="1306" width="43.6640625" style="805" customWidth="1"/>
    <col min="1307" max="1309" width="47.33203125" style="805" customWidth="1"/>
    <col min="1310" max="1310" width="44" style="805" customWidth="1"/>
    <col min="1311" max="1313" width="47.33203125" style="805" customWidth="1"/>
    <col min="1314" max="1314" width="43.6640625" style="805" customWidth="1"/>
    <col min="1315" max="1317" width="47.33203125" style="805" customWidth="1"/>
    <col min="1318" max="1318" width="43.6640625" style="805" customWidth="1"/>
    <col min="1319" max="1321" width="47.33203125" style="805" customWidth="1"/>
    <col min="1322" max="1322" width="43.6640625" style="805" customWidth="1"/>
    <col min="1323" max="1323" width="193.33203125" style="805" customWidth="1"/>
    <col min="1324" max="1339" width="56" style="805" customWidth="1"/>
    <col min="1340" max="1340" width="59" style="805" customWidth="1"/>
    <col min="1341" max="1341" width="46" style="805" customWidth="1"/>
    <col min="1342" max="1536" width="9.33203125" style="805"/>
    <col min="1537" max="1537" width="193.33203125" style="805" customWidth="1"/>
    <col min="1538" max="1538" width="47.1640625" style="805" customWidth="1"/>
    <col min="1539" max="1539" width="47.33203125" style="805" customWidth="1"/>
    <col min="1540" max="1540" width="47.1640625" style="805" customWidth="1"/>
    <col min="1541" max="1541" width="43.6640625" style="805" customWidth="1"/>
    <col min="1542" max="1543" width="47.33203125" style="805" customWidth="1"/>
    <col min="1544" max="1544" width="47.1640625" style="805" customWidth="1"/>
    <col min="1545" max="1545" width="43.6640625" style="805" customWidth="1"/>
    <col min="1546" max="1547" width="47.33203125" style="805" customWidth="1"/>
    <col min="1548" max="1548" width="47.1640625" style="805" customWidth="1"/>
    <col min="1549" max="1549" width="43.6640625" style="805" customWidth="1"/>
    <col min="1550" max="1551" width="45" style="805" customWidth="1"/>
    <col min="1552" max="1552" width="44.83203125" style="805" customWidth="1"/>
    <col min="1553" max="1553" width="45" style="805" customWidth="1"/>
    <col min="1554" max="1555" width="47.33203125" style="805" customWidth="1"/>
    <col min="1556" max="1556" width="47.1640625" style="805" customWidth="1"/>
    <col min="1557" max="1557" width="43.6640625" style="805" customWidth="1"/>
    <col min="1558" max="1558" width="193.33203125" style="805" customWidth="1"/>
    <col min="1559" max="1561" width="47.33203125" style="805" customWidth="1"/>
    <col min="1562" max="1562" width="43.6640625" style="805" customWidth="1"/>
    <col min="1563" max="1565" width="47.33203125" style="805" customWidth="1"/>
    <col min="1566" max="1566" width="44" style="805" customWidth="1"/>
    <col min="1567" max="1569" width="47.33203125" style="805" customWidth="1"/>
    <col min="1570" max="1570" width="43.6640625" style="805" customWidth="1"/>
    <col min="1571" max="1573" width="47.33203125" style="805" customWidth="1"/>
    <col min="1574" max="1574" width="43.6640625" style="805" customWidth="1"/>
    <col min="1575" max="1577" width="47.33203125" style="805" customWidth="1"/>
    <col min="1578" max="1578" width="43.6640625" style="805" customWidth="1"/>
    <col min="1579" max="1579" width="193.33203125" style="805" customWidth="1"/>
    <col min="1580" max="1595" width="56" style="805" customWidth="1"/>
    <col min="1596" max="1596" width="59" style="805" customWidth="1"/>
    <col min="1597" max="1597" width="46" style="805" customWidth="1"/>
    <col min="1598" max="1792" width="9.33203125" style="805"/>
    <col min="1793" max="1793" width="193.33203125" style="805" customWidth="1"/>
    <col min="1794" max="1794" width="47.1640625" style="805" customWidth="1"/>
    <col min="1795" max="1795" width="47.33203125" style="805" customWidth="1"/>
    <col min="1796" max="1796" width="47.1640625" style="805" customWidth="1"/>
    <col min="1797" max="1797" width="43.6640625" style="805" customWidth="1"/>
    <col min="1798" max="1799" width="47.33203125" style="805" customWidth="1"/>
    <col min="1800" max="1800" width="47.1640625" style="805" customWidth="1"/>
    <col min="1801" max="1801" width="43.6640625" style="805" customWidth="1"/>
    <col min="1802" max="1803" width="47.33203125" style="805" customWidth="1"/>
    <col min="1804" max="1804" width="47.1640625" style="805" customWidth="1"/>
    <col min="1805" max="1805" width="43.6640625" style="805" customWidth="1"/>
    <col min="1806" max="1807" width="45" style="805" customWidth="1"/>
    <col min="1808" max="1808" width="44.83203125" style="805" customWidth="1"/>
    <col min="1809" max="1809" width="45" style="805" customWidth="1"/>
    <col min="1810" max="1811" width="47.33203125" style="805" customWidth="1"/>
    <col min="1812" max="1812" width="47.1640625" style="805" customWidth="1"/>
    <col min="1813" max="1813" width="43.6640625" style="805" customWidth="1"/>
    <col min="1814" max="1814" width="193.33203125" style="805" customWidth="1"/>
    <col min="1815" max="1817" width="47.33203125" style="805" customWidth="1"/>
    <col min="1818" max="1818" width="43.6640625" style="805" customWidth="1"/>
    <col min="1819" max="1821" width="47.33203125" style="805" customWidth="1"/>
    <col min="1822" max="1822" width="44" style="805" customWidth="1"/>
    <col min="1823" max="1825" width="47.33203125" style="805" customWidth="1"/>
    <col min="1826" max="1826" width="43.6640625" style="805" customWidth="1"/>
    <col min="1827" max="1829" width="47.33203125" style="805" customWidth="1"/>
    <col min="1830" max="1830" width="43.6640625" style="805" customWidth="1"/>
    <col min="1831" max="1833" width="47.33203125" style="805" customWidth="1"/>
    <col min="1834" max="1834" width="43.6640625" style="805" customWidth="1"/>
    <col min="1835" max="1835" width="193.33203125" style="805" customWidth="1"/>
    <col min="1836" max="1851" width="56" style="805" customWidth="1"/>
    <col min="1852" max="1852" width="59" style="805" customWidth="1"/>
    <col min="1853" max="1853" width="46" style="805" customWidth="1"/>
    <col min="1854" max="2048" width="9.33203125" style="805"/>
    <col min="2049" max="2049" width="193.33203125" style="805" customWidth="1"/>
    <col min="2050" max="2050" width="47.1640625" style="805" customWidth="1"/>
    <col min="2051" max="2051" width="47.33203125" style="805" customWidth="1"/>
    <col min="2052" max="2052" width="47.1640625" style="805" customWidth="1"/>
    <col min="2053" max="2053" width="43.6640625" style="805" customWidth="1"/>
    <col min="2054" max="2055" width="47.33203125" style="805" customWidth="1"/>
    <col min="2056" max="2056" width="47.1640625" style="805" customWidth="1"/>
    <col min="2057" max="2057" width="43.6640625" style="805" customWidth="1"/>
    <col min="2058" max="2059" width="47.33203125" style="805" customWidth="1"/>
    <col min="2060" max="2060" width="47.1640625" style="805" customWidth="1"/>
    <col min="2061" max="2061" width="43.6640625" style="805" customWidth="1"/>
    <col min="2062" max="2063" width="45" style="805" customWidth="1"/>
    <col min="2064" max="2064" width="44.83203125" style="805" customWidth="1"/>
    <col min="2065" max="2065" width="45" style="805" customWidth="1"/>
    <col min="2066" max="2067" width="47.33203125" style="805" customWidth="1"/>
    <col min="2068" max="2068" width="47.1640625" style="805" customWidth="1"/>
    <col min="2069" max="2069" width="43.6640625" style="805" customWidth="1"/>
    <col min="2070" max="2070" width="193.33203125" style="805" customWidth="1"/>
    <col min="2071" max="2073" width="47.33203125" style="805" customWidth="1"/>
    <col min="2074" max="2074" width="43.6640625" style="805" customWidth="1"/>
    <col min="2075" max="2077" width="47.33203125" style="805" customWidth="1"/>
    <col min="2078" max="2078" width="44" style="805" customWidth="1"/>
    <col min="2079" max="2081" width="47.33203125" style="805" customWidth="1"/>
    <col min="2082" max="2082" width="43.6640625" style="805" customWidth="1"/>
    <col min="2083" max="2085" width="47.33203125" style="805" customWidth="1"/>
    <col min="2086" max="2086" width="43.6640625" style="805" customWidth="1"/>
    <col min="2087" max="2089" width="47.33203125" style="805" customWidth="1"/>
    <col min="2090" max="2090" width="43.6640625" style="805" customWidth="1"/>
    <col min="2091" max="2091" width="193.33203125" style="805" customWidth="1"/>
    <col min="2092" max="2107" width="56" style="805" customWidth="1"/>
    <col min="2108" max="2108" width="59" style="805" customWidth="1"/>
    <col min="2109" max="2109" width="46" style="805" customWidth="1"/>
    <col min="2110" max="2304" width="9.33203125" style="805"/>
    <col min="2305" max="2305" width="193.33203125" style="805" customWidth="1"/>
    <col min="2306" max="2306" width="47.1640625" style="805" customWidth="1"/>
    <col min="2307" max="2307" width="47.33203125" style="805" customWidth="1"/>
    <col min="2308" max="2308" width="47.1640625" style="805" customWidth="1"/>
    <col min="2309" max="2309" width="43.6640625" style="805" customWidth="1"/>
    <col min="2310" max="2311" width="47.33203125" style="805" customWidth="1"/>
    <col min="2312" max="2312" width="47.1640625" style="805" customWidth="1"/>
    <col min="2313" max="2313" width="43.6640625" style="805" customWidth="1"/>
    <col min="2314" max="2315" width="47.33203125" style="805" customWidth="1"/>
    <col min="2316" max="2316" width="47.1640625" style="805" customWidth="1"/>
    <col min="2317" max="2317" width="43.6640625" style="805" customWidth="1"/>
    <col min="2318" max="2319" width="45" style="805" customWidth="1"/>
    <col min="2320" max="2320" width="44.83203125" style="805" customWidth="1"/>
    <col min="2321" max="2321" width="45" style="805" customWidth="1"/>
    <col min="2322" max="2323" width="47.33203125" style="805" customWidth="1"/>
    <col min="2324" max="2324" width="47.1640625" style="805" customWidth="1"/>
    <col min="2325" max="2325" width="43.6640625" style="805" customWidth="1"/>
    <col min="2326" max="2326" width="193.33203125" style="805" customWidth="1"/>
    <col min="2327" max="2329" width="47.33203125" style="805" customWidth="1"/>
    <col min="2330" max="2330" width="43.6640625" style="805" customWidth="1"/>
    <col min="2331" max="2333" width="47.33203125" style="805" customWidth="1"/>
    <col min="2334" max="2334" width="44" style="805" customWidth="1"/>
    <col min="2335" max="2337" width="47.33203125" style="805" customWidth="1"/>
    <col min="2338" max="2338" width="43.6640625" style="805" customWidth="1"/>
    <col min="2339" max="2341" width="47.33203125" style="805" customWidth="1"/>
    <col min="2342" max="2342" width="43.6640625" style="805" customWidth="1"/>
    <col min="2343" max="2345" width="47.33203125" style="805" customWidth="1"/>
    <col min="2346" max="2346" width="43.6640625" style="805" customWidth="1"/>
    <col min="2347" max="2347" width="193.33203125" style="805" customWidth="1"/>
    <col min="2348" max="2363" width="56" style="805" customWidth="1"/>
    <col min="2364" max="2364" width="59" style="805" customWidth="1"/>
    <col min="2365" max="2365" width="46" style="805" customWidth="1"/>
    <col min="2366" max="2560" width="9.33203125" style="805"/>
    <col min="2561" max="2561" width="193.33203125" style="805" customWidth="1"/>
    <col min="2562" max="2562" width="47.1640625" style="805" customWidth="1"/>
    <col min="2563" max="2563" width="47.33203125" style="805" customWidth="1"/>
    <col min="2564" max="2564" width="47.1640625" style="805" customWidth="1"/>
    <col min="2565" max="2565" width="43.6640625" style="805" customWidth="1"/>
    <col min="2566" max="2567" width="47.33203125" style="805" customWidth="1"/>
    <col min="2568" max="2568" width="47.1640625" style="805" customWidth="1"/>
    <col min="2569" max="2569" width="43.6640625" style="805" customWidth="1"/>
    <col min="2570" max="2571" width="47.33203125" style="805" customWidth="1"/>
    <col min="2572" max="2572" width="47.1640625" style="805" customWidth="1"/>
    <col min="2573" max="2573" width="43.6640625" style="805" customWidth="1"/>
    <col min="2574" max="2575" width="45" style="805" customWidth="1"/>
    <col min="2576" max="2576" width="44.83203125" style="805" customWidth="1"/>
    <col min="2577" max="2577" width="45" style="805" customWidth="1"/>
    <col min="2578" max="2579" width="47.33203125" style="805" customWidth="1"/>
    <col min="2580" max="2580" width="47.1640625" style="805" customWidth="1"/>
    <col min="2581" max="2581" width="43.6640625" style="805" customWidth="1"/>
    <col min="2582" max="2582" width="193.33203125" style="805" customWidth="1"/>
    <col min="2583" max="2585" width="47.33203125" style="805" customWidth="1"/>
    <col min="2586" max="2586" width="43.6640625" style="805" customWidth="1"/>
    <col min="2587" max="2589" width="47.33203125" style="805" customWidth="1"/>
    <col min="2590" max="2590" width="44" style="805" customWidth="1"/>
    <col min="2591" max="2593" width="47.33203125" style="805" customWidth="1"/>
    <col min="2594" max="2594" width="43.6640625" style="805" customWidth="1"/>
    <col min="2595" max="2597" width="47.33203125" style="805" customWidth="1"/>
    <col min="2598" max="2598" width="43.6640625" style="805" customWidth="1"/>
    <col min="2599" max="2601" width="47.33203125" style="805" customWidth="1"/>
    <col min="2602" max="2602" width="43.6640625" style="805" customWidth="1"/>
    <col min="2603" max="2603" width="193.33203125" style="805" customWidth="1"/>
    <col min="2604" max="2619" width="56" style="805" customWidth="1"/>
    <col min="2620" max="2620" width="59" style="805" customWidth="1"/>
    <col min="2621" max="2621" width="46" style="805" customWidth="1"/>
    <col min="2622" max="2816" width="9.33203125" style="805"/>
    <col min="2817" max="2817" width="193.33203125" style="805" customWidth="1"/>
    <col min="2818" max="2818" width="47.1640625" style="805" customWidth="1"/>
    <col min="2819" max="2819" width="47.33203125" style="805" customWidth="1"/>
    <col min="2820" max="2820" width="47.1640625" style="805" customWidth="1"/>
    <col min="2821" max="2821" width="43.6640625" style="805" customWidth="1"/>
    <col min="2822" max="2823" width="47.33203125" style="805" customWidth="1"/>
    <col min="2824" max="2824" width="47.1640625" style="805" customWidth="1"/>
    <col min="2825" max="2825" width="43.6640625" style="805" customWidth="1"/>
    <col min="2826" max="2827" width="47.33203125" style="805" customWidth="1"/>
    <col min="2828" max="2828" width="47.1640625" style="805" customWidth="1"/>
    <col min="2829" max="2829" width="43.6640625" style="805" customWidth="1"/>
    <col min="2830" max="2831" width="45" style="805" customWidth="1"/>
    <col min="2832" max="2832" width="44.83203125" style="805" customWidth="1"/>
    <col min="2833" max="2833" width="45" style="805" customWidth="1"/>
    <col min="2834" max="2835" width="47.33203125" style="805" customWidth="1"/>
    <col min="2836" max="2836" width="47.1640625" style="805" customWidth="1"/>
    <col min="2837" max="2837" width="43.6640625" style="805" customWidth="1"/>
    <col min="2838" max="2838" width="193.33203125" style="805" customWidth="1"/>
    <col min="2839" max="2841" width="47.33203125" style="805" customWidth="1"/>
    <col min="2842" max="2842" width="43.6640625" style="805" customWidth="1"/>
    <col min="2843" max="2845" width="47.33203125" style="805" customWidth="1"/>
    <col min="2846" max="2846" width="44" style="805" customWidth="1"/>
    <col min="2847" max="2849" width="47.33203125" style="805" customWidth="1"/>
    <col min="2850" max="2850" width="43.6640625" style="805" customWidth="1"/>
    <col min="2851" max="2853" width="47.33203125" style="805" customWidth="1"/>
    <col min="2854" max="2854" width="43.6640625" style="805" customWidth="1"/>
    <col min="2855" max="2857" width="47.33203125" style="805" customWidth="1"/>
    <col min="2858" max="2858" width="43.6640625" style="805" customWidth="1"/>
    <col min="2859" max="2859" width="193.33203125" style="805" customWidth="1"/>
    <col min="2860" max="2875" width="56" style="805" customWidth="1"/>
    <col min="2876" max="2876" width="59" style="805" customWidth="1"/>
    <col min="2877" max="2877" width="46" style="805" customWidth="1"/>
    <col min="2878" max="3072" width="9.33203125" style="805"/>
    <col min="3073" max="3073" width="193.33203125" style="805" customWidth="1"/>
    <col min="3074" max="3074" width="47.1640625" style="805" customWidth="1"/>
    <col min="3075" max="3075" width="47.33203125" style="805" customWidth="1"/>
    <col min="3076" max="3076" width="47.1640625" style="805" customWidth="1"/>
    <col min="3077" max="3077" width="43.6640625" style="805" customWidth="1"/>
    <col min="3078" max="3079" width="47.33203125" style="805" customWidth="1"/>
    <col min="3080" max="3080" width="47.1640625" style="805" customWidth="1"/>
    <col min="3081" max="3081" width="43.6640625" style="805" customWidth="1"/>
    <col min="3082" max="3083" width="47.33203125" style="805" customWidth="1"/>
    <col min="3084" max="3084" width="47.1640625" style="805" customWidth="1"/>
    <col min="3085" max="3085" width="43.6640625" style="805" customWidth="1"/>
    <col min="3086" max="3087" width="45" style="805" customWidth="1"/>
    <col min="3088" max="3088" width="44.83203125" style="805" customWidth="1"/>
    <col min="3089" max="3089" width="45" style="805" customWidth="1"/>
    <col min="3090" max="3091" width="47.33203125" style="805" customWidth="1"/>
    <col min="3092" max="3092" width="47.1640625" style="805" customWidth="1"/>
    <col min="3093" max="3093" width="43.6640625" style="805" customWidth="1"/>
    <col min="3094" max="3094" width="193.33203125" style="805" customWidth="1"/>
    <col min="3095" max="3097" width="47.33203125" style="805" customWidth="1"/>
    <col min="3098" max="3098" width="43.6640625" style="805" customWidth="1"/>
    <col min="3099" max="3101" width="47.33203125" style="805" customWidth="1"/>
    <col min="3102" max="3102" width="44" style="805" customWidth="1"/>
    <col min="3103" max="3105" width="47.33203125" style="805" customWidth="1"/>
    <col min="3106" max="3106" width="43.6640625" style="805" customWidth="1"/>
    <col min="3107" max="3109" width="47.33203125" style="805" customWidth="1"/>
    <col min="3110" max="3110" width="43.6640625" style="805" customWidth="1"/>
    <col min="3111" max="3113" width="47.33203125" style="805" customWidth="1"/>
    <col min="3114" max="3114" width="43.6640625" style="805" customWidth="1"/>
    <col min="3115" max="3115" width="193.33203125" style="805" customWidth="1"/>
    <col min="3116" max="3131" width="56" style="805" customWidth="1"/>
    <col min="3132" max="3132" width="59" style="805" customWidth="1"/>
    <col min="3133" max="3133" width="46" style="805" customWidth="1"/>
    <col min="3134" max="3328" width="9.33203125" style="805"/>
    <col min="3329" max="3329" width="193.33203125" style="805" customWidth="1"/>
    <col min="3330" max="3330" width="47.1640625" style="805" customWidth="1"/>
    <col min="3331" max="3331" width="47.33203125" style="805" customWidth="1"/>
    <col min="3332" max="3332" width="47.1640625" style="805" customWidth="1"/>
    <col min="3333" max="3333" width="43.6640625" style="805" customWidth="1"/>
    <col min="3334" max="3335" width="47.33203125" style="805" customWidth="1"/>
    <col min="3336" max="3336" width="47.1640625" style="805" customWidth="1"/>
    <col min="3337" max="3337" width="43.6640625" style="805" customWidth="1"/>
    <col min="3338" max="3339" width="47.33203125" style="805" customWidth="1"/>
    <col min="3340" max="3340" width="47.1640625" style="805" customWidth="1"/>
    <col min="3341" max="3341" width="43.6640625" style="805" customWidth="1"/>
    <col min="3342" max="3343" width="45" style="805" customWidth="1"/>
    <col min="3344" max="3344" width="44.83203125" style="805" customWidth="1"/>
    <col min="3345" max="3345" width="45" style="805" customWidth="1"/>
    <col min="3346" max="3347" width="47.33203125" style="805" customWidth="1"/>
    <col min="3348" max="3348" width="47.1640625" style="805" customWidth="1"/>
    <col min="3349" max="3349" width="43.6640625" style="805" customWidth="1"/>
    <col min="3350" max="3350" width="193.33203125" style="805" customWidth="1"/>
    <col min="3351" max="3353" width="47.33203125" style="805" customWidth="1"/>
    <col min="3354" max="3354" width="43.6640625" style="805" customWidth="1"/>
    <col min="3355" max="3357" width="47.33203125" style="805" customWidth="1"/>
    <col min="3358" max="3358" width="44" style="805" customWidth="1"/>
    <col min="3359" max="3361" width="47.33203125" style="805" customWidth="1"/>
    <col min="3362" max="3362" width="43.6640625" style="805" customWidth="1"/>
    <col min="3363" max="3365" width="47.33203125" style="805" customWidth="1"/>
    <col min="3366" max="3366" width="43.6640625" style="805" customWidth="1"/>
    <col min="3367" max="3369" width="47.33203125" style="805" customWidth="1"/>
    <col min="3370" max="3370" width="43.6640625" style="805" customWidth="1"/>
    <col min="3371" max="3371" width="193.33203125" style="805" customWidth="1"/>
    <col min="3372" max="3387" width="56" style="805" customWidth="1"/>
    <col min="3388" max="3388" width="59" style="805" customWidth="1"/>
    <col min="3389" max="3389" width="46" style="805" customWidth="1"/>
    <col min="3390" max="3584" width="9.33203125" style="805"/>
    <col min="3585" max="3585" width="193.33203125" style="805" customWidth="1"/>
    <col min="3586" max="3586" width="47.1640625" style="805" customWidth="1"/>
    <col min="3587" max="3587" width="47.33203125" style="805" customWidth="1"/>
    <col min="3588" max="3588" width="47.1640625" style="805" customWidth="1"/>
    <col min="3589" max="3589" width="43.6640625" style="805" customWidth="1"/>
    <col min="3590" max="3591" width="47.33203125" style="805" customWidth="1"/>
    <col min="3592" max="3592" width="47.1640625" style="805" customWidth="1"/>
    <col min="3593" max="3593" width="43.6640625" style="805" customWidth="1"/>
    <col min="3594" max="3595" width="47.33203125" style="805" customWidth="1"/>
    <col min="3596" max="3596" width="47.1640625" style="805" customWidth="1"/>
    <col min="3597" max="3597" width="43.6640625" style="805" customWidth="1"/>
    <col min="3598" max="3599" width="45" style="805" customWidth="1"/>
    <col min="3600" max="3600" width="44.83203125" style="805" customWidth="1"/>
    <col min="3601" max="3601" width="45" style="805" customWidth="1"/>
    <col min="3602" max="3603" width="47.33203125" style="805" customWidth="1"/>
    <col min="3604" max="3604" width="47.1640625" style="805" customWidth="1"/>
    <col min="3605" max="3605" width="43.6640625" style="805" customWidth="1"/>
    <col min="3606" max="3606" width="193.33203125" style="805" customWidth="1"/>
    <col min="3607" max="3609" width="47.33203125" style="805" customWidth="1"/>
    <col min="3610" max="3610" width="43.6640625" style="805" customWidth="1"/>
    <col min="3611" max="3613" width="47.33203125" style="805" customWidth="1"/>
    <col min="3614" max="3614" width="44" style="805" customWidth="1"/>
    <col min="3615" max="3617" width="47.33203125" style="805" customWidth="1"/>
    <col min="3618" max="3618" width="43.6640625" style="805" customWidth="1"/>
    <col min="3619" max="3621" width="47.33203125" style="805" customWidth="1"/>
    <col min="3622" max="3622" width="43.6640625" style="805" customWidth="1"/>
    <col min="3623" max="3625" width="47.33203125" style="805" customWidth="1"/>
    <col min="3626" max="3626" width="43.6640625" style="805" customWidth="1"/>
    <col min="3627" max="3627" width="193.33203125" style="805" customWidth="1"/>
    <col min="3628" max="3643" width="56" style="805" customWidth="1"/>
    <col min="3644" max="3644" width="59" style="805" customWidth="1"/>
    <col min="3645" max="3645" width="46" style="805" customWidth="1"/>
    <col min="3646" max="3840" width="9.33203125" style="805"/>
    <col min="3841" max="3841" width="193.33203125" style="805" customWidth="1"/>
    <col min="3842" max="3842" width="47.1640625" style="805" customWidth="1"/>
    <col min="3843" max="3843" width="47.33203125" style="805" customWidth="1"/>
    <col min="3844" max="3844" width="47.1640625" style="805" customWidth="1"/>
    <col min="3845" max="3845" width="43.6640625" style="805" customWidth="1"/>
    <col min="3846" max="3847" width="47.33203125" style="805" customWidth="1"/>
    <col min="3848" max="3848" width="47.1640625" style="805" customWidth="1"/>
    <col min="3849" max="3849" width="43.6640625" style="805" customWidth="1"/>
    <col min="3850" max="3851" width="47.33203125" style="805" customWidth="1"/>
    <col min="3852" max="3852" width="47.1640625" style="805" customWidth="1"/>
    <col min="3853" max="3853" width="43.6640625" style="805" customWidth="1"/>
    <col min="3854" max="3855" width="45" style="805" customWidth="1"/>
    <col min="3856" max="3856" width="44.83203125" style="805" customWidth="1"/>
    <col min="3857" max="3857" width="45" style="805" customWidth="1"/>
    <col min="3858" max="3859" width="47.33203125" style="805" customWidth="1"/>
    <col min="3860" max="3860" width="47.1640625" style="805" customWidth="1"/>
    <col min="3861" max="3861" width="43.6640625" style="805" customWidth="1"/>
    <col min="3862" max="3862" width="193.33203125" style="805" customWidth="1"/>
    <col min="3863" max="3865" width="47.33203125" style="805" customWidth="1"/>
    <col min="3866" max="3866" width="43.6640625" style="805" customWidth="1"/>
    <col min="3867" max="3869" width="47.33203125" style="805" customWidth="1"/>
    <col min="3870" max="3870" width="44" style="805" customWidth="1"/>
    <col min="3871" max="3873" width="47.33203125" style="805" customWidth="1"/>
    <col min="3874" max="3874" width="43.6640625" style="805" customWidth="1"/>
    <col min="3875" max="3877" width="47.33203125" style="805" customWidth="1"/>
    <col min="3878" max="3878" width="43.6640625" style="805" customWidth="1"/>
    <col min="3879" max="3881" width="47.33203125" style="805" customWidth="1"/>
    <col min="3882" max="3882" width="43.6640625" style="805" customWidth="1"/>
    <col min="3883" max="3883" width="193.33203125" style="805" customWidth="1"/>
    <col min="3884" max="3899" width="56" style="805" customWidth="1"/>
    <col min="3900" max="3900" width="59" style="805" customWidth="1"/>
    <col min="3901" max="3901" width="46" style="805" customWidth="1"/>
    <col min="3902" max="4096" width="9.33203125" style="805"/>
    <col min="4097" max="4097" width="193.33203125" style="805" customWidth="1"/>
    <col min="4098" max="4098" width="47.1640625" style="805" customWidth="1"/>
    <col min="4099" max="4099" width="47.33203125" style="805" customWidth="1"/>
    <col min="4100" max="4100" width="47.1640625" style="805" customWidth="1"/>
    <col min="4101" max="4101" width="43.6640625" style="805" customWidth="1"/>
    <col min="4102" max="4103" width="47.33203125" style="805" customWidth="1"/>
    <col min="4104" max="4104" width="47.1640625" style="805" customWidth="1"/>
    <col min="4105" max="4105" width="43.6640625" style="805" customWidth="1"/>
    <col min="4106" max="4107" width="47.33203125" style="805" customWidth="1"/>
    <col min="4108" max="4108" width="47.1640625" style="805" customWidth="1"/>
    <col min="4109" max="4109" width="43.6640625" style="805" customWidth="1"/>
    <col min="4110" max="4111" width="45" style="805" customWidth="1"/>
    <col min="4112" max="4112" width="44.83203125" style="805" customWidth="1"/>
    <col min="4113" max="4113" width="45" style="805" customWidth="1"/>
    <col min="4114" max="4115" width="47.33203125" style="805" customWidth="1"/>
    <col min="4116" max="4116" width="47.1640625" style="805" customWidth="1"/>
    <col min="4117" max="4117" width="43.6640625" style="805" customWidth="1"/>
    <col min="4118" max="4118" width="193.33203125" style="805" customWidth="1"/>
    <col min="4119" max="4121" width="47.33203125" style="805" customWidth="1"/>
    <col min="4122" max="4122" width="43.6640625" style="805" customWidth="1"/>
    <col min="4123" max="4125" width="47.33203125" style="805" customWidth="1"/>
    <col min="4126" max="4126" width="44" style="805" customWidth="1"/>
    <col min="4127" max="4129" width="47.33203125" style="805" customWidth="1"/>
    <col min="4130" max="4130" width="43.6640625" style="805" customWidth="1"/>
    <col min="4131" max="4133" width="47.33203125" style="805" customWidth="1"/>
    <col min="4134" max="4134" width="43.6640625" style="805" customWidth="1"/>
    <col min="4135" max="4137" width="47.33203125" style="805" customWidth="1"/>
    <col min="4138" max="4138" width="43.6640625" style="805" customWidth="1"/>
    <col min="4139" max="4139" width="193.33203125" style="805" customWidth="1"/>
    <col min="4140" max="4155" width="56" style="805" customWidth="1"/>
    <col min="4156" max="4156" width="59" style="805" customWidth="1"/>
    <col min="4157" max="4157" width="46" style="805" customWidth="1"/>
    <col min="4158" max="4352" width="9.33203125" style="805"/>
    <col min="4353" max="4353" width="193.33203125" style="805" customWidth="1"/>
    <col min="4354" max="4354" width="47.1640625" style="805" customWidth="1"/>
    <col min="4355" max="4355" width="47.33203125" style="805" customWidth="1"/>
    <col min="4356" max="4356" width="47.1640625" style="805" customWidth="1"/>
    <col min="4357" max="4357" width="43.6640625" style="805" customWidth="1"/>
    <col min="4358" max="4359" width="47.33203125" style="805" customWidth="1"/>
    <col min="4360" max="4360" width="47.1640625" style="805" customWidth="1"/>
    <col min="4361" max="4361" width="43.6640625" style="805" customWidth="1"/>
    <col min="4362" max="4363" width="47.33203125" style="805" customWidth="1"/>
    <col min="4364" max="4364" width="47.1640625" style="805" customWidth="1"/>
    <col min="4365" max="4365" width="43.6640625" style="805" customWidth="1"/>
    <col min="4366" max="4367" width="45" style="805" customWidth="1"/>
    <col min="4368" max="4368" width="44.83203125" style="805" customWidth="1"/>
    <col min="4369" max="4369" width="45" style="805" customWidth="1"/>
    <col min="4370" max="4371" width="47.33203125" style="805" customWidth="1"/>
    <col min="4372" max="4372" width="47.1640625" style="805" customWidth="1"/>
    <col min="4373" max="4373" width="43.6640625" style="805" customWidth="1"/>
    <col min="4374" max="4374" width="193.33203125" style="805" customWidth="1"/>
    <col min="4375" max="4377" width="47.33203125" style="805" customWidth="1"/>
    <col min="4378" max="4378" width="43.6640625" style="805" customWidth="1"/>
    <col min="4379" max="4381" width="47.33203125" style="805" customWidth="1"/>
    <col min="4382" max="4382" width="44" style="805" customWidth="1"/>
    <col min="4383" max="4385" width="47.33203125" style="805" customWidth="1"/>
    <col min="4386" max="4386" width="43.6640625" style="805" customWidth="1"/>
    <col min="4387" max="4389" width="47.33203125" style="805" customWidth="1"/>
    <col min="4390" max="4390" width="43.6640625" style="805" customWidth="1"/>
    <col min="4391" max="4393" width="47.33203125" style="805" customWidth="1"/>
    <col min="4394" max="4394" width="43.6640625" style="805" customWidth="1"/>
    <col min="4395" max="4395" width="193.33203125" style="805" customWidth="1"/>
    <col min="4396" max="4411" width="56" style="805" customWidth="1"/>
    <col min="4412" max="4412" width="59" style="805" customWidth="1"/>
    <col min="4413" max="4413" width="46" style="805" customWidth="1"/>
    <col min="4414" max="4608" width="9.33203125" style="805"/>
    <col min="4609" max="4609" width="193.33203125" style="805" customWidth="1"/>
    <col min="4610" max="4610" width="47.1640625" style="805" customWidth="1"/>
    <col min="4611" max="4611" width="47.33203125" style="805" customWidth="1"/>
    <col min="4612" max="4612" width="47.1640625" style="805" customWidth="1"/>
    <col min="4613" max="4613" width="43.6640625" style="805" customWidth="1"/>
    <col min="4614" max="4615" width="47.33203125" style="805" customWidth="1"/>
    <col min="4616" max="4616" width="47.1640625" style="805" customWidth="1"/>
    <col min="4617" max="4617" width="43.6640625" style="805" customWidth="1"/>
    <col min="4618" max="4619" width="47.33203125" style="805" customWidth="1"/>
    <col min="4620" max="4620" width="47.1640625" style="805" customWidth="1"/>
    <col min="4621" max="4621" width="43.6640625" style="805" customWidth="1"/>
    <col min="4622" max="4623" width="45" style="805" customWidth="1"/>
    <col min="4624" max="4624" width="44.83203125" style="805" customWidth="1"/>
    <col min="4625" max="4625" width="45" style="805" customWidth="1"/>
    <col min="4626" max="4627" width="47.33203125" style="805" customWidth="1"/>
    <col min="4628" max="4628" width="47.1640625" style="805" customWidth="1"/>
    <col min="4629" max="4629" width="43.6640625" style="805" customWidth="1"/>
    <col min="4630" max="4630" width="193.33203125" style="805" customWidth="1"/>
    <col min="4631" max="4633" width="47.33203125" style="805" customWidth="1"/>
    <col min="4634" max="4634" width="43.6640625" style="805" customWidth="1"/>
    <col min="4635" max="4637" width="47.33203125" style="805" customWidth="1"/>
    <col min="4638" max="4638" width="44" style="805" customWidth="1"/>
    <col min="4639" max="4641" width="47.33203125" style="805" customWidth="1"/>
    <col min="4642" max="4642" width="43.6640625" style="805" customWidth="1"/>
    <col min="4643" max="4645" width="47.33203125" style="805" customWidth="1"/>
    <col min="4646" max="4646" width="43.6640625" style="805" customWidth="1"/>
    <col min="4647" max="4649" width="47.33203125" style="805" customWidth="1"/>
    <col min="4650" max="4650" width="43.6640625" style="805" customWidth="1"/>
    <col min="4651" max="4651" width="193.33203125" style="805" customWidth="1"/>
    <col min="4652" max="4667" width="56" style="805" customWidth="1"/>
    <col min="4668" max="4668" width="59" style="805" customWidth="1"/>
    <col min="4669" max="4669" width="46" style="805" customWidth="1"/>
    <col min="4670" max="4864" width="9.33203125" style="805"/>
    <col min="4865" max="4865" width="193.33203125" style="805" customWidth="1"/>
    <col min="4866" max="4866" width="47.1640625" style="805" customWidth="1"/>
    <col min="4867" max="4867" width="47.33203125" style="805" customWidth="1"/>
    <col min="4868" max="4868" width="47.1640625" style="805" customWidth="1"/>
    <col min="4869" max="4869" width="43.6640625" style="805" customWidth="1"/>
    <col min="4870" max="4871" width="47.33203125" style="805" customWidth="1"/>
    <col min="4872" max="4872" width="47.1640625" style="805" customWidth="1"/>
    <col min="4873" max="4873" width="43.6640625" style="805" customWidth="1"/>
    <col min="4874" max="4875" width="47.33203125" style="805" customWidth="1"/>
    <col min="4876" max="4876" width="47.1640625" style="805" customWidth="1"/>
    <col min="4877" max="4877" width="43.6640625" style="805" customWidth="1"/>
    <col min="4878" max="4879" width="45" style="805" customWidth="1"/>
    <col min="4880" max="4880" width="44.83203125" style="805" customWidth="1"/>
    <col min="4881" max="4881" width="45" style="805" customWidth="1"/>
    <col min="4882" max="4883" width="47.33203125" style="805" customWidth="1"/>
    <col min="4884" max="4884" width="47.1640625" style="805" customWidth="1"/>
    <col min="4885" max="4885" width="43.6640625" style="805" customWidth="1"/>
    <col min="4886" max="4886" width="193.33203125" style="805" customWidth="1"/>
    <col min="4887" max="4889" width="47.33203125" style="805" customWidth="1"/>
    <col min="4890" max="4890" width="43.6640625" style="805" customWidth="1"/>
    <col min="4891" max="4893" width="47.33203125" style="805" customWidth="1"/>
    <col min="4894" max="4894" width="44" style="805" customWidth="1"/>
    <col min="4895" max="4897" width="47.33203125" style="805" customWidth="1"/>
    <col min="4898" max="4898" width="43.6640625" style="805" customWidth="1"/>
    <col min="4899" max="4901" width="47.33203125" style="805" customWidth="1"/>
    <col min="4902" max="4902" width="43.6640625" style="805" customWidth="1"/>
    <col min="4903" max="4905" width="47.33203125" style="805" customWidth="1"/>
    <col min="4906" max="4906" width="43.6640625" style="805" customWidth="1"/>
    <col min="4907" max="4907" width="193.33203125" style="805" customWidth="1"/>
    <col min="4908" max="4923" width="56" style="805" customWidth="1"/>
    <col min="4924" max="4924" width="59" style="805" customWidth="1"/>
    <col min="4925" max="4925" width="46" style="805" customWidth="1"/>
    <col min="4926" max="5120" width="9.33203125" style="805"/>
    <col min="5121" max="5121" width="193.33203125" style="805" customWidth="1"/>
    <col min="5122" max="5122" width="47.1640625" style="805" customWidth="1"/>
    <col min="5123" max="5123" width="47.33203125" style="805" customWidth="1"/>
    <col min="5124" max="5124" width="47.1640625" style="805" customWidth="1"/>
    <col min="5125" max="5125" width="43.6640625" style="805" customWidth="1"/>
    <col min="5126" max="5127" width="47.33203125" style="805" customWidth="1"/>
    <col min="5128" max="5128" width="47.1640625" style="805" customWidth="1"/>
    <col min="5129" max="5129" width="43.6640625" style="805" customWidth="1"/>
    <col min="5130" max="5131" width="47.33203125" style="805" customWidth="1"/>
    <col min="5132" max="5132" width="47.1640625" style="805" customWidth="1"/>
    <col min="5133" max="5133" width="43.6640625" style="805" customWidth="1"/>
    <col min="5134" max="5135" width="45" style="805" customWidth="1"/>
    <col min="5136" max="5136" width="44.83203125" style="805" customWidth="1"/>
    <col min="5137" max="5137" width="45" style="805" customWidth="1"/>
    <col min="5138" max="5139" width="47.33203125" style="805" customWidth="1"/>
    <col min="5140" max="5140" width="47.1640625" style="805" customWidth="1"/>
    <col min="5141" max="5141" width="43.6640625" style="805" customWidth="1"/>
    <col min="5142" max="5142" width="193.33203125" style="805" customWidth="1"/>
    <col min="5143" max="5145" width="47.33203125" style="805" customWidth="1"/>
    <col min="5146" max="5146" width="43.6640625" style="805" customWidth="1"/>
    <col min="5147" max="5149" width="47.33203125" style="805" customWidth="1"/>
    <col min="5150" max="5150" width="44" style="805" customWidth="1"/>
    <col min="5151" max="5153" width="47.33203125" style="805" customWidth="1"/>
    <col min="5154" max="5154" width="43.6640625" style="805" customWidth="1"/>
    <col min="5155" max="5157" width="47.33203125" style="805" customWidth="1"/>
    <col min="5158" max="5158" width="43.6640625" style="805" customWidth="1"/>
    <col min="5159" max="5161" width="47.33203125" style="805" customWidth="1"/>
    <col min="5162" max="5162" width="43.6640625" style="805" customWidth="1"/>
    <col min="5163" max="5163" width="193.33203125" style="805" customWidth="1"/>
    <col min="5164" max="5179" width="56" style="805" customWidth="1"/>
    <col min="5180" max="5180" width="59" style="805" customWidth="1"/>
    <col min="5181" max="5181" width="46" style="805" customWidth="1"/>
    <col min="5182" max="5376" width="9.33203125" style="805"/>
    <col min="5377" max="5377" width="193.33203125" style="805" customWidth="1"/>
    <col min="5378" max="5378" width="47.1640625" style="805" customWidth="1"/>
    <col min="5379" max="5379" width="47.33203125" style="805" customWidth="1"/>
    <col min="5380" max="5380" width="47.1640625" style="805" customWidth="1"/>
    <col min="5381" max="5381" width="43.6640625" style="805" customWidth="1"/>
    <col min="5382" max="5383" width="47.33203125" style="805" customWidth="1"/>
    <col min="5384" max="5384" width="47.1640625" style="805" customWidth="1"/>
    <col min="5385" max="5385" width="43.6640625" style="805" customWidth="1"/>
    <col min="5386" max="5387" width="47.33203125" style="805" customWidth="1"/>
    <col min="5388" max="5388" width="47.1640625" style="805" customWidth="1"/>
    <col min="5389" max="5389" width="43.6640625" style="805" customWidth="1"/>
    <col min="5390" max="5391" width="45" style="805" customWidth="1"/>
    <col min="5392" max="5392" width="44.83203125" style="805" customWidth="1"/>
    <col min="5393" max="5393" width="45" style="805" customWidth="1"/>
    <col min="5394" max="5395" width="47.33203125" style="805" customWidth="1"/>
    <col min="5396" max="5396" width="47.1640625" style="805" customWidth="1"/>
    <col min="5397" max="5397" width="43.6640625" style="805" customWidth="1"/>
    <col min="5398" max="5398" width="193.33203125" style="805" customWidth="1"/>
    <col min="5399" max="5401" width="47.33203125" style="805" customWidth="1"/>
    <col min="5402" max="5402" width="43.6640625" style="805" customWidth="1"/>
    <col min="5403" max="5405" width="47.33203125" style="805" customWidth="1"/>
    <col min="5406" max="5406" width="44" style="805" customWidth="1"/>
    <col min="5407" max="5409" width="47.33203125" style="805" customWidth="1"/>
    <col min="5410" max="5410" width="43.6640625" style="805" customWidth="1"/>
    <col min="5411" max="5413" width="47.33203125" style="805" customWidth="1"/>
    <col min="5414" max="5414" width="43.6640625" style="805" customWidth="1"/>
    <col min="5415" max="5417" width="47.33203125" style="805" customWidth="1"/>
    <col min="5418" max="5418" width="43.6640625" style="805" customWidth="1"/>
    <col min="5419" max="5419" width="193.33203125" style="805" customWidth="1"/>
    <col min="5420" max="5435" width="56" style="805" customWidth="1"/>
    <col min="5436" max="5436" width="59" style="805" customWidth="1"/>
    <col min="5437" max="5437" width="46" style="805" customWidth="1"/>
    <col min="5438" max="5632" width="9.33203125" style="805"/>
    <col min="5633" max="5633" width="193.33203125" style="805" customWidth="1"/>
    <col min="5634" max="5634" width="47.1640625" style="805" customWidth="1"/>
    <col min="5635" max="5635" width="47.33203125" style="805" customWidth="1"/>
    <col min="5636" max="5636" width="47.1640625" style="805" customWidth="1"/>
    <col min="5637" max="5637" width="43.6640625" style="805" customWidth="1"/>
    <col min="5638" max="5639" width="47.33203125" style="805" customWidth="1"/>
    <col min="5640" max="5640" width="47.1640625" style="805" customWidth="1"/>
    <col min="5641" max="5641" width="43.6640625" style="805" customWidth="1"/>
    <col min="5642" max="5643" width="47.33203125" style="805" customWidth="1"/>
    <col min="5644" max="5644" width="47.1640625" style="805" customWidth="1"/>
    <col min="5645" max="5645" width="43.6640625" style="805" customWidth="1"/>
    <col min="5646" max="5647" width="45" style="805" customWidth="1"/>
    <col min="5648" max="5648" width="44.83203125" style="805" customWidth="1"/>
    <col min="5649" max="5649" width="45" style="805" customWidth="1"/>
    <col min="5650" max="5651" width="47.33203125" style="805" customWidth="1"/>
    <col min="5652" max="5652" width="47.1640625" style="805" customWidth="1"/>
    <col min="5653" max="5653" width="43.6640625" style="805" customWidth="1"/>
    <col min="5654" max="5654" width="193.33203125" style="805" customWidth="1"/>
    <col min="5655" max="5657" width="47.33203125" style="805" customWidth="1"/>
    <col min="5658" max="5658" width="43.6640625" style="805" customWidth="1"/>
    <col min="5659" max="5661" width="47.33203125" style="805" customWidth="1"/>
    <col min="5662" max="5662" width="44" style="805" customWidth="1"/>
    <col min="5663" max="5665" width="47.33203125" style="805" customWidth="1"/>
    <col min="5666" max="5666" width="43.6640625" style="805" customWidth="1"/>
    <col min="5667" max="5669" width="47.33203125" style="805" customWidth="1"/>
    <col min="5670" max="5670" width="43.6640625" style="805" customWidth="1"/>
    <col min="5671" max="5673" width="47.33203125" style="805" customWidth="1"/>
    <col min="5674" max="5674" width="43.6640625" style="805" customWidth="1"/>
    <col min="5675" max="5675" width="193.33203125" style="805" customWidth="1"/>
    <col min="5676" max="5691" width="56" style="805" customWidth="1"/>
    <col min="5692" max="5692" width="59" style="805" customWidth="1"/>
    <col min="5693" max="5693" width="46" style="805" customWidth="1"/>
    <col min="5694" max="5888" width="9.33203125" style="805"/>
    <col min="5889" max="5889" width="193.33203125" style="805" customWidth="1"/>
    <col min="5890" max="5890" width="47.1640625" style="805" customWidth="1"/>
    <col min="5891" max="5891" width="47.33203125" style="805" customWidth="1"/>
    <col min="5892" max="5892" width="47.1640625" style="805" customWidth="1"/>
    <col min="5893" max="5893" width="43.6640625" style="805" customWidth="1"/>
    <col min="5894" max="5895" width="47.33203125" style="805" customWidth="1"/>
    <col min="5896" max="5896" width="47.1640625" style="805" customWidth="1"/>
    <col min="5897" max="5897" width="43.6640625" style="805" customWidth="1"/>
    <col min="5898" max="5899" width="47.33203125" style="805" customWidth="1"/>
    <col min="5900" max="5900" width="47.1640625" style="805" customWidth="1"/>
    <col min="5901" max="5901" width="43.6640625" style="805" customWidth="1"/>
    <col min="5902" max="5903" width="45" style="805" customWidth="1"/>
    <col min="5904" max="5904" width="44.83203125" style="805" customWidth="1"/>
    <col min="5905" max="5905" width="45" style="805" customWidth="1"/>
    <col min="5906" max="5907" width="47.33203125" style="805" customWidth="1"/>
    <col min="5908" max="5908" width="47.1640625" style="805" customWidth="1"/>
    <col min="5909" max="5909" width="43.6640625" style="805" customWidth="1"/>
    <col min="5910" max="5910" width="193.33203125" style="805" customWidth="1"/>
    <col min="5911" max="5913" width="47.33203125" style="805" customWidth="1"/>
    <col min="5914" max="5914" width="43.6640625" style="805" customWidth="1"/>
    <col min="5915" max="5917" width="47.33203125" style="805" customWidth="1"/>
    <col min="5918" max="5918" width="44" style="805" customWidth="1"/>
    <col min="5919" max="5921" width="47.33203125" style="805" customWidth="1"/>
    <col min="5922" max="5922" width="43.6640625" style="805" customWidth="1"/>
    <col min="5923" max="5925" width="47.33203125" style="805" customWidth="1"/>
    <col min="5926" max="5926" width="43.6640625" style="805" customWidth="1"/>
    <col min="5927" max="5929" width="47.33203125" style="805" customWidth="1"/>
    <col min="5930" max="5930" width="43.6640625" style="805" customWidth="1"/>
    <col min="5931" max="5931" width="193.33203125" style="805" customWidth="1"/>
    <col min="5932" max="5947" width="56" style="805" customWidth="1"/>
    <col min="5948" max="5948" width="59" style="805" customWidth="1"/>
    <col min="5949" max="5949" width="46" style="805" customWidth="1"/>
    <col min="5950" max="6144" width="9.33203125" style="805"/>
    <col min="6145" max="6145" width="193.33203125" style="805" customWidth="1"/>
    <col min="6146" max="6146" width="47.1640625" style="805" customWidth="1"/>
    <col min="6147" max="6147" width="47.33203125" style="805" customWidth="1"/>
    <col min="6148" max="6148" width="47.1640625" style="805" customWidth="1"/>
    <col min="6149" max="6149" width="43.6640625" style="805" customWidth="1"/>
    <col min="6150" max="6151" width="47.33203125" style="805" customWidth="1"/>
    <col min="6152" max="6152" width="47.1640625" style="805" customWidth="1"/>
    <col min="6153" max="6153" width="43.6640625" style="805" customWidth="1"/>
    <col min="6154" max="6155" width="47.33203125" style="805" customWidth="1"/>
    <col min="6156" max="6156" width="47.1640625" style="805" customWidth="1"/>
    <col min="6157" max="6157" width="43.6640625" style="805" customWidth="1"/>
    <col min="6158" max="6159" width="45" style="805" customWidth="1"/>
    <col min="6160" max="6160" width="44.83203125" style="805" customWidth="1"/>
    <col min="6161" max="6161" width="45" style="805" customWidth="1"/>
    <col min="6162" max="6163" width="47.33203125" style="805" customWidth="1"/>
    <col min="6164" max="6164" width="47.1640625" style="805" customWidth="1"/>
    <col min="6165" max="6165" width="43.6640625" style="805" customWidth="1"/>
    <col min="6166" max="6166" width="193.33203125" style="805" customWidth="1"/>
    <col min="6167" max="6169" width="47.33203125" style="805" customWidth="1"/>
    <col min="6170" max="6170" width="43.6640625" style="805" customWidth="1"/>
    <col min="6171" max="6173" width="47.33203125" style="805" customWidth="1"/>
    <col min="6174" max="6174" width="44" style="805" customWidth="1"/>
    <col min="6175" max="6177" width="47.33203125" style="805" customWidth="1"/>
    <col min="6178" max="6178" width="43.6640625" style="805" customWidth="1"/>
    <col min="6179" max="6181" width="47.33203125" style="805" customWidth="1"/>
    <col min="6182" max="6182" width="43.6640625" style="805" customWidth="1"/>
    <col min="6183" max="6185" width="47.33203125" style="805" customWidth="1"/>
    <col min="6186" max="6186" width="43.6640625" style="805" customWidth="1"/>
    <col min="6187" max="6187" width="193.33203125" style="805" customWidth="1"/>
    <col min="6188" max="6203" width="56" style="805" customWidth="1"/>
    <col min="6204" max="6204" width="59" style="805" customWidth="1"/>
    <col min="6205" max="6205" width="46" style="805" customWidth="1"/>
    <col min="6206" max="6400" width="9.33203125" style="805"/>
    <col min="6401" max="6401" width="193.33203125" style="805" customWidth="1"/>
    <col min="6402" max="6402" width="47.1640625" style="805" customWidth="1"/>
    <col min="6403" max="6403" width="47.33203125" style="805" customWidth="1"/>
    <col min="6404" max="6404" width="47.1640625" style="805" customWidth="1"/>
    <col min="6405" max="6405" width="43.6640625" style="805" customWidth="1"/>
    <col min="6406" max="6407" width="47.33203125" style="805" customWidth="1"/>
    <col min="6408" max="6408" width="47.1640625" style="805" customWidth="1"/>
    <col min="6409" max="6409" width="43.6640625" style="805" customWidth="1"/>
    <col min="6410" max="6411" width="47.33203125" style="805" customWidth="1"/>
    <col min="6412" max="6412" width="47.1640625" style="805" customWidth="1"/>
    <col min="6413" max="6413" width="43.6640625" style="805" customWidth="1"/>
    <col min="6414" max="6415" width="45" style="805" customWidth="1"/>
    <col min="6416" max="6416" width="44.83203125" style="805" customWidth="1"/>
    <col min="6417" max="6417" width="45" style="805" customWidth="1"/>
    <col min="6418" max="6419" width="47.33203125" style="805" customWidth="1"/>
    <col min="6420" max="6420" width="47.1640625" style="805" customWidth="1"/>
    <col min="6421" max="6421" width="43.6640625" style="805" customWidth="1"/>
    <col min="6422" max="6422" width="193.33203125" style="805" customWidth="1"/>
    <col min="6423" max="6425" width="47.33203125" style="805" customWidth="1"/>
    <col min="6426" max="6426" width="43.6640625" style="805" customWidth="1"/>
    <col min="6427" max="6429" width="47.33203125" style="805" customWidth="1"/>
    <col min="6430" max="6430" width="44" style="805" customWidth="1"/>
    <col min="6431" max="6433" width="47.33203125" style="805" customWidth="1"/>
    <col min="6434" max="6434" width="43.6640625" style="805" customWidth="1"/>
    <col min="6435" max="6437" width="47.33203125" style="805" customWidth="1"/>
    <col min="6438" max="6438" width="43.6640625" style="805" customWidth="1"/>
    <col min="6439" max="6441" width="47.33203125" style="805" customWidth="1"/>
    <col min="6442" max="6442" width="43.6640625" style="805" customWidth="1"/>
    <col min="6443" max="6443" width="193.33203125" style="805" customWidth="1"/>
    <col min="6444" max="6459" width="56" style="805" customWidth="1"/>
    <col min="6460" max="6460" width="59" style="805" customWidth="1"/>
    <col min="6461" max="6461" width="46" style="805" customWidth="1"/>
    <col min="6462" max="6656" width="9.33203125" style="805"/>
    <col min="6657" max="6657" width="193.33203125" style="805" customWidth="1"/>
    <col min="6658" max="6658" width="47.1640625" style="805" customWidth="1"/>
    <col min="6659" max="6659" width="47.33203125" style="805" customWidth="1"/>
    <col min="6660" max="6660" width="47.1640625" style="805" customWidth="1"/>
    <col min="6661" max="6661" width="43.6640625" style="805" customWidth="1"/>
    <col min="6662" max="6663" width="47.33203125" style="805" customWidth="1"/>
    <col min="6664" max="6664" width="47.1640625" style="805" customWidth="1"/>
    <col min="6665" max="6665" width="43.6640625" style="805" customWidth="1"/>
    <col min="6666" max="6667" width="47.33203125" style="805" customWidth="1"/>
    <col min="6668" max="6668" width="47.1640625" style="805" customWidth="1"/>
    <col min="6669" max="6669" width="43.6640625" style="805" customWidth="1"/>
    <col min="6670" max="6671" width="45" style="805" customWidth="1"/>
    <col min="6672" max="6672" width="44.83203125" style="805" customWidth="1"/>
    <col min="6673" max="6673" width="45" style="805" customWidth="1"/>
    <col min="6674" max="6675" width="47.33203125" style="805" customWidth="1"/>
    <col min="6676" max="6676" width="47.1640625" style="805" customWidth="1"/>
    <col min="6677" max="6677" width="43.6640625" style="805" customWidth="1"/>
    <col min="6678" max="6678" width="193.33203125" style="805" customWidth="1"/>
    <col min="6679" max="6681" width="47.33203125" style="805" customWidth="1"/>
    <col min="6682" max="6682" width="43.6640625" style="805" customWidth="1"/>
    <col min="6683" max="6685" width="47.33203125" style="805" customWidth="1"/>
    <col min="6686" max="6686" width="44" style="805" customWidth="1"/>
    <col min="6687" max="6689" width="47.33203125" style="805" customWidth="1"/>
    <col min="6690" max="6690" width="43.6640625" style="805" customWidth="1"/>
    <col min="6691" max="6693" width="47.33203125" style="805" customWidth="1"/>
    <col min="6694" max="6694" width="43.6640625" style="805" customWidth="1"/>
    <col min="6695" max="6697" width="47.33203125" style="805" customWidth="1"/>
    <col min="6698" max="6698" width="43.6640625" style="805" customWidth="1"/>
    <col min="6699" max="6699" width="193.33203125" style="805" customWidth="1"/>
    <col min="6700" max="6715" width="56" style="805" customWidth="1"/>
    <col min="6716" max="6716" width="59" style="805" customWidth="1"/>
    <col min="6717" max="6717" width="46" style="805" customWidth="1"/>
    <col min="6718" max="6912" width="9.33203125" style="805"/>
    <col min="6913" max="6913" width="193.33203125" style="805" customWidth="1"/>
    <col min="6914" max="6914" width="47.1640625" style="805" customWidth="1"/>
    <col min="6915" max="6915" width="47.33203125" style="805" customWidth="1"/>
    <col min="6916" max="6916" width="47.1640625" style="805" customWidth="1"/>
    <col min="6917" max="6917" width="43.6640625" style="805" customWidth="1"/>
    <col min="6918" max="6919" width="47.33203125" style="805" customWidth="1"/>
    <col min="6920" max="6920" width="47.1640625" style="805" customWidth="1"/>
    <col min="6921" max="6921" width="43.6640625" style="805" customWidth="1"/>
    <col min="6922" max="6923" width="47.33203125" style="805" customWidth="1"/>
    <col min="6924" max="6924" width="47.1640625" style="805" customWidth="1"/>
    <col min="6925" max="6925" width="43.6640625" style="805" customWidth="1"/>
    <col min="6926" max="6927" width="45" style="805" customWidth="1"/>
    <col min="6928" max="6928" width="44.83203125" style="805" customWidth="1"/>
    <col min="6929" max="6929" width="45" style="805" customWidth="1"/>
    <col min="6930" max="6931" width="47.33203125" style="805" customWidth="1"/>
    <col min="6932" max="6932" width="47.1640625" style="805" customWidth="1"/>
    <col min="6933" max="6933" width="43.6640625" style="805" customWidth="1"/>
    <col min="6934" max="6934" width="193.33203125" style="805" customWidth="1"/>
    <col min="6935" max="6937" width="47.33203125" style="805" customWidth="1"/>
    <col min="6938" max="6938" width="43.6640625" style="805" customWidth="1"/>
    <col min="6939" max="6941" width="47.33203125" style="805" customWidth="1"/>
    <col min="6942" max="6942" width="44" style="805" customWidth="1"/>
    <col min="6943" max="6945" width="47.33203125" style="805" customWidth="1"/>
    <col min="6946" max="6946" width="43.6640625" style="805" customWidth="1"/>
    <col min="6947" max="6949" width="47.33203125" style="805" customWidth="1"/>
    <col min="6950" max="6950" width="43.6640625" style="805" customWidth="1"/>
    <col min="6951" max="6953" width="47.33203125" style="805" customWidth="1"/>
    <col min="6954" max="6954" width="43.6640625" style="805" customWidth="1"/>
    <col min="6955" max="6955" width="193.33203125" style="805" customWidth="1"/>
    <col min="6956" max="6971" width="56" style="805" customWidth="1"/>
    <col min="6972" max="6972" width="59" style="805" customWidth="1"/>
    <col min="6973" max="6973" width="46" style="805" customWidth="1"/>
    <col min="6974" max="7168" width="9.33203125" style="805"/>
    <col min="7169" max="7169" width="193.33203125" style="805" customWidth="1"/>
    <col min="7170" max="7170" width="47.1640625" style="805" customWidth="1"/>
    <col min="7171" max="7171" width="47.33203125" style="805" customWidth="1"/>
    <col min="7172" max="7172" width="47.1640625" style="805" customWidth="1"/>
    <col min="7173" max="7173" width="43.6640625" style="805" customWidth="1"/>
    <col min="7174" max="7175" width="47.33203125" style="805" customWidth="1"/>
    <col min="7176" max="7176" width="47.1640625" style="805" customWidth="1"/>
    <col min="7177" max="7177" width="43.6640625" style="805" customWidth="1"/>
    <col min="7178" max="7179" width="47.33203125" style="805" customWidth="1"/>
    <col min="7180" max="7180" width="47.1640625" style="805" customWidth="1"/>
    <col min="7181" max="7181" width="43.6640625" style="805" customWidth="1"/>
    <col min="7182" max="7183" width="45" style="805" customWidth="1"/>
    <col min="7184" max="7184" width="44.83203125" style="805" customWidth="1"/>
    <col min="7185" max="7185" width="45" style="805" customWidth="1"/>
    <col min="7186" max="7187" width="47.33203125" style="805" customWidth="1"/>
    <col min="7188" max="7188" width="47.1640625" style="805" customWidth="1"/>
    <col min="7189" max="7189" width="43.6640625" style="805" customWidth="1"/>
    <col min="7190" max="7190" width="193.33203125" style="805" customWidth="1"/>
    <col min="7191" max="7193" width="47.33203125" style="805" customWidth="1"/>
    <col min="7194" max="7194" width="43.6640625" style="805" customWidth="1"/>
    <col min="7195" max="7197" width="47.33203125" style="805" customWidth="1"/>
    <col min="7198" max="7198" width="44" style="805" customWidth="1"/>
    <col min="7199" max="7201" width="47.33203125" style="805" customWidth="1"/>
    <col min="7202" max="7202" width="43.6640625" style="805" customWidth="1"/>
    <col min="7203" max="7205" width="47.33203125" style="805" customWidth="1"/>
    <col min="7206" max="7206" width="43.6640625" style="805" customWidth="1"/>
    <col min="7207" max="7209" width="47.33203125" style="805" customWidth="1"/>
    <col min="7210" max="7210" width="43.6640625" style="805" customWidth="1"/>
    <col min="7211" max="7211" width="193.33203125" style="805" customWidth="1"/>
    <col min="7212" max="7227" width="56" style="805" customWidth="1"/>
    <col min="7228" max="7228" width="59" style="805" customWidth="1"/>
    <col min="7229" max="7229" width="46" style="805" customWidth="1"/>
    <col min="7230" max="7424" width="9.33203125" style="805"/>
    <col min="7425" max="7425" width="193.33203125" style="805" customWidth="1"/>
    <col min="7426" max="7426" width="47.1640625" style="805" customWidth="1"/>
    <col min="7427" max="7427" width="47.33203125" style="805" customWidth="1"/>
    <col min="7428" max="7428" width="47.1640625" style="805" customWidth="1"/>
    <col min="7429" max="7429" width="43.6640625" style="805" customWidth="1"/>
    <col min="7430" max="7431" width="47.33203125" style="805" customWidth="1"/>
    <col min="7432" max="7432" width="47.1640625" style="805" customWidth="1"/>
    <col min="7433" max="7433" width="43.6640625" style="805" customWidth="1"/>
    <col min="7434" max="7435" width="47.33203125" style="805" customWidth="1"/>
    <col min="7436" max="7436" width="47.1640625" style="805" customWidth="1"/>
    <col min="7437" max="7437" width="43.6640625" style="805" customWidth="1"/>
    <col min="7438" max="7439" width="45" style="805" customWidth="1"/>
    <col min="7440" max="7440" width="44.83203125" style="805" customWidth="1"/>
    <col min="7441" max="7441" width="45" style="805" customWidth="1"/>
    <col min="7442" max="7443" width="47.33203125" style="805" customWidth="1"/>
    <col min="7444" max="7444" width="47.1640625" style="805" customWidth="1"/>
    <col min="7445" max="7445" width="43.6640625" style="805" customWidth="1"/>
    <col min="7446" max="7446" width="193.33203125" style="805" customWidth="1"/>
    <col min="7447" max="7449" width="47.33203125" style="805" customWidth="1"/>
    <col min="7450" max="7450" width="43.6640625" style="805" customWidth="1"/>
    <col min="7451" max="7453" width="47.33203125" style="805" customWidth="1"/>
    <col min="7454" max="7454" width="44" style="805" customWidth="1"/>
    <col min="7455" max="7457" width="47.33203125" style="805" customWidth="1"/>
    <col min="7458" max="7458" width="43.6640625" style="805" customWidth="1"/>
    <col min="7459" max="7461" width="47.33203125" style="805" customWidth="1"/>
    <col min="7462" max="7462" width="43.6640625" style="805" customWidth="1"/>
    <col min="7463" max="7465" width="47.33203125" style="805" customWidth="1"/>
    <col min="7466" max="7466" width="43.6640625" style="805" customWidth="1"/>
    <col min="7467" max="7467" width="193.33203125" style="805" customWidth="1"/>
    <col min="7468" max="7483" width="56" style="805" customWidth="1"/>
    <col min="7484" max="7484" width="59" style="805" customWidth="1"/>
    <col min="7485" max="7485" width="46" style="805" customWidth="1"/>
    <col min="7486" max="7680" width="9.33203125" style="805"/>
    <col min="7681" max="7681" width="193.33203125" style="805" customWidth="1"/>
    <col min="7682" max="7682" width="47.1640625" style="805" customWidth="1"/>
    <col min="7683" max="7683" width="47.33203125" style="805" customWidth="1"/>
    <col min="7684" max="7684" width="47.1640625" style="805" customWidth="1"/>
    <col min="7685" max="7685" width="43.6640625" style="805" customWidth="1"/>
    <col min="7686" max="7687" width="47.33203125" style="805" customWidth="1"/>
    <col min="7688" max="7688" width="47.1640625" style="805" customWidth="1"/>
    <col min="7689" max="7689" width="43.6640625" style="805" customWidth="1"/>
    <col min="7690" max="7691" width="47.33203125" style="805" customWidth="1"/>
    <col min="7692" max="7692" width="47.1640625" style="805" customWidth="1"/>
    <col min="7693" max="7693" width="43.6640625" style="805" customWidth="1"/>
    <col min="7694" max="7695" width="45" style="805" customWidth="1"/>
    <col min="7696" max="7696" width="44.83203125" style="805" customWidth="1"/>
    <col min="7697" max="7697" width="45" style="805" customWidth="1"/>
    <col min="7698" max="7699" width="47.33203125" style="805" customWidth="1"/>
    <col min="7700" max="7700" width="47.1640625" style="805" customWidth="1"/>
    <col min="7701" max="7701" width="43.6640625" style="805" customWidth="1"/>
    <col min="7702" max="7702" width="193.33203125" style="805" customWidth="1"/>
    <col min="7703" max="7705" width="47.33203125" style="805" customWidth="1"/>
    <col min="7706" max="7706" width="43.6640625" style="805" customWidth="1"/>
    <col min="7707" max="7709" width="47.33203125" style="805" customWidth="1"/>
    <col min="7710" max="7710" width="44" style="805" customWidth="1"/>
    <col min="7711" max="7713" width="47.33203125" style="805" customWidth="1"/>
    <col min="7714" max="7714" width="43.6640625" style="805" customWidth="1"/>
    <col min="7715" max="7717" width="47.33203125" style="805" customWidth="1"/>
    <col min="7718" max="7718" width="43.6640625" style="805" customWidth="1"/>
    <col min="7719" max="7721" width="47.33203125" style="805" customWidth="1"/>
    <col min="7722" max="7722" width="43.6640625" style="805" customWidth="1"/>
    <col min="7723" max="7723" width="193.33203125" style="805" customWidth="1"/>
    <col min="7724" max="7739" width="56" style="805" customWidth="1"/>
    <col min="7740" max="7740" width="59" style="805" customWidth="1"/>
    <col min="7741" max="7741" width="46" style="805" customWidth="1"/>
    <col min="7742" max="7936" width="9.33203125" style="805"/>
    <col min="7937" max="7937" width="193.33203125" style="805" customWidth="1"/>
    <col min="7938" max="7938" width="47.1640625" style="805" customWidth="1"/>
    <col min="7939" max="7939" width="47.33203125" style="805" customWidth="1"/>
    <col min="7940" max="7940" width="47.1640625" style="805" customWidth="1"/>
    <col min="7941" max="7941" width="43.6640625" style="805" customWidth="1"/>
    <col min="7942" max="7943" width="47.33203125" style="805" customWidth="1"/>
    <col min="7944" max="7944" width="47.1640625" style="805" customWidth="1"/>
    <col min="7945" max="7945" width="43.6640625" style="805" customWidth="1"/>
    <col min="7946" max="7947" width="47.33203125" style="805" customWidth="1"/>
    <col min="7948" max="7948" width="47.1640625" style="805" customWidth="1"/>
    <col min="7949" max="7949" width="43.6640625" style="805" customWidth="1"/>
    <col min="7950" max="7951" width="45" style="805" customWidth="1"/>
    <col min="7952" max="7952" width="44.83203125" style="805" customWidth="1"/>
    <col min="7953" max="7953" width="45" style="805" customWidth="1"/>
    <col min="7954" max="7955" width="47.33203125" style="805" customWidth="1"/>
    <col min="7956" max="7956" width="47.1640625" style="805" customWidth="1"/>
    <col min="7957" max="7957" width="43.6640625" style="805" customWidth="1"/>
    <col min="7958" max="7958" width="193.33203125" style="805" customWidth="1"/>
    <col min="7959" max="7961" width="47.33203125" style="805" customWidth="1"/>
    <col min="7962" max="7962" width="43.6640625" style="805" customWidth="1"/>
    <col min="7963" max="7965" width="47.33203125" style="805" customWidth="1"/>
    <col min="7966" max="7966" width="44" style="805" customWidth="1"/>
    <col min="7967" max="7969" width="47.33203125" style="805" customWidth="1"/>
    <col min="7970" max="7970" width="43.6640625" style="805" customWidth="1"/>
    <col min="7971" max="7973" width="47.33203125" style="805" customWidth="1"/>
    <col min="7974" max="7974" width="43.6640625" style="805" customWidth="1"/>
    <col min="7975" max="7977" width="47.33203125" style="805" customWidth="1"/>
    <col min="7978" max="7978" width="43.6640625" style="805" customWidth="1"/>
    <col min="7979" max="7979" width="193.33203125" style="805" customWidth="1"/>
    <col min="7980" max="7995" width="56" style="805" customWidth="1"/>
    <col min="7996" max="7996" width="59" style="805" customWidth="1"/>
    <col min="7997" max="7997" width="46" style="805" customWidth="1"/>
    <col min="7998" max="8192" width="9.33203125" style="805"/>
    <col min="8193" max="8193" width="193.33203125" style="805" customWidth="1"/>
    <col min="8194" max="8194" width="47.1640625" style="805" customWidth="1"/>
    <col min="8195" max="8195" width="47.33203125" style="805" customWidth="1"/>
    <col min="8196" max="8196" width="47.1640625" style="805" customWidth="1"/>
    <col min="8197" max="8197" width="43.6640625" style="805" customWidth="1"/>
    <col min="8198" max="8199" width="47.33203125" style="805" customWidth="1"/>
    <col min="8200" max="8200" width="47.1640625" style="805" customWidth="1"/>
    <col min="8201" max="8201" width="43.6640625" style="805" customWidth="1"/>
    <col min="8202" max="8203" width="47.33203125" style="805" customWidth="1"/>
    <col min="8204" max="8204" width="47.1640625" style="805" customWidth="1"/>
    <col min="8205" max="8205" width="43.6640625" style="805" customWidth="1"/>
    <col min="8206" max="8207" width="45" style="805" customWidth="1"/>
    <col min="8208" max="8208" width="44.83203125" style="805" customWidth="1"/>
    <col min="8209" max="8209" width="45" style="805" customWidth="1"/>
    <col min="8210" max="8211" width="47.33203125" style="805" customWidth="1"/>
    <col min="8212" max="8212" width="47.1640625" style="805" customWidth="1"/>
    <col min="8213" max="8213" width="43.6640625" style="805" customWidth="1"/>
    <col min="8214" max="8214" width="193.33203125" style="805" customWidth="1"/>
    <col min="8215" max="8217" width="47.33203125" style="805" customWidth="1"/>
    <col min="8218" max="8218" width="43.6640625" style="805" customWidth="1"/>
    <col min="8219" max="8221" width="47.33203125" style="805" customWidth="1"/>
    <col min="8222" max="8222" width="44" style="805" customWidth="1"/>
    <col min="8223" max="8225" width="47.33203125" style="805" customWidth="1"/>
    <col min="8226" max="8226" width="43.6640625" style="805" customWidth="1"/>
    <col min="8227" max="8229" width="47.33203125" style="805" customWidth="1"/>
    <col min="8230" max="8230" width="43.6640625" style="805" customWidth="1"/>
    <col min="8231" max="8233" width="47.33203125" style="805" customWidth="1"/>
    <col min="8234" max="8234" width="43.6640625" style="805" customWidth="1"/>
    <col min="8235" max="8235" width="193.33203125" style="805" customWidth="1"/>
    <col min="8236" max="8251" width="56" style="805" customWidth="1"/>
    <col min="8252" max="8252" width="59" style="805" customWidth="1"/>
    <col min="8253" max="8253" width="46" style="805" customWidth="1"/>
    <col min="8254" max="8448" width="9.33203125" style="805"/>
    <col min="8449" max="8449" width="193.33203125" style="805" customWidth="1"/>
    <col min="8450" max="8450" width="47.1640625" style="805" customWidth="1"/>
    <col min="8451" max="8451" width="47.33203125" style="805" customWidth="1"/>
    <col min="8452" max="8452" width="47.1640625" style="805" customWidth="1"/>
    <col min="8453" max="8453" width="43.6640625" style="805" customWidth="1"/>
    <col min="8454" max="8455" width="47.33203125" style="805" customWidth="1"/>
    <col min="8456" max="8456" width="47.1640625" style="805" customWidth="1"/>
    <col min="8457" max="8457" width="43.6640625" style="805" customWidth="1"/>
    <col min="8458" max="8459" width="47.33203125" style="805" customWidth="1"/>
    <col min="8460" max="8460" width="47.1640625" style="805" customWidth="1"/>
    <col min="8461" max="8461" width="43.6640625" style="805" customWidth="1"/>
    <col min="8462" max="8463" width="45" style="805" customWidth="1"/>
    <col min="8464" max="8464" width="44.83203125" style="805" customWidth="1"/>
    <col min="8465" max="8465" width="45" style="805" customWidth="1"/>
    <col min="8466" max="8467" width="47.33203125" style="805" customWidth="1"/>
    <col min="8468" max="8468" width="47.1640625" style="805" customWidth="1"/>
    <col min="8469" max="8469" width="43.6640625" style="805" customWidth="1"/>
    <col min="8470" max="8470" width="193.33203125" style="805" customWidth="1"/>
    <col min="8471" max="8473" width="47.33203125" style="805" customWidth="1"/>
    <col min="8474" max="8474" width="43.6640625" style="805" customWidth="1"/>
    <col min="8475" max="8477" width="47.33203125" style="805" customWidth="1"/>
    <col min="8478" max="8478" width="44" style="805" customWidth="1"/>
    <col min="8479" max="8481" width="47.33203125" style="805" customWidth="1"/>
    <col min="8482" max="8482" width="43.6640625" style="805" customWidth="1"/>
    <col min="8483" max="8485" width="47.33203125" style="805" customWidth="1"/>
    <col min="8486" max="8486" width="43.6640625" style="805" customWidth="1"/>
    <col min="8487" max="8489" width="47.33203125" style="805" customWidth="1"/>
    <col min="8490" max="8490" width="43.6640625" style="805" customWidth="1"/>
    <col min="8491" max="8491" width="193.33203125" style="805" customWidth="1"/>
    <col min="8492" max="8507" width="56" style="805" customWidth="1"/>
    <col min="8508" max="8508" width="59" style="805" customWidth="1"/>
    <col min="8509" max="8509" width="46" style="805" customWidth="1"/>
    <col min="8510" max="8704" width="9.33203125" style="805"/>
    <col min="8705" max="8705" width="193.33203125" style="805" customWidth="1"/>
    <col min="8706" max="8706" width="47.1640625" style="805" customWidth="1"/>
    <col min="8707" max="8707" width="47.33203125" style="805" customWidth="1"/>
    <col min="8708" max="8708" width="47.1640625" style="805" customWidth="1"/>
    <col min="8709" max="8709" width="43.6640625" style="805" customWidth="1"/>
    <col min="8710" max="8711" width="47.33203125" style="805" customWidth="1"/>
    <col min="8712" max="8712" width="47.1640625" style="805" customWidth="1"/>
    <col min="8713" max="8713" width="43.6640625" style="805" customWidth="1"/>
    <col min="8714" max="8715" width="47.33203125" style="805" customWidth="1"/>
    <col min="8716" max="8716" width="47.1640625" style="805" customWidth="1"/>
    <col min="8717" max="8717" width="43.6640625" style="805" customWidth="1"/>
    <col min="8718" max="8719" width="45" style="805" customWidth="1"/>
    <col min="8720" max="8720" width="44.83203125" style="805" customWidth="1"/>
    <col min="8721" max="8721" width="45" style="805" customWidth="1"/>
    <col min="8722" max="8723" width="47.33203125" style="805" customWidth="1"/>
    <col min="8724" max="8724" width="47.1640625" style="805" customWidth="1"/>
    <col min="8725" max="8725" width="43.6640625" style="805" customWidth="1"/>
    <col min="8726" max="8726" width="193.33203125" style="805" customWidth="1"/>
    <col min="8727" max="8729" width="47.33203125" style="805" customWidth="1"/>
    <col min="8730" max="8730" width="43.6640625" style="805" customWidth="1"/>
    <col min="8731" max="8733" width="47.33203125" style="805" customWidth="1"/>
    <col min="8734" max="8734" width="44" style="805" customWidth="1"/>
    <col min="8735" max="8737" width="47.33203125" style="805" customWidth="1"/>
    <col min="8738" max="8738" width="43.6640625" style="805" customWidth="1"/>
    <col min="8739" max="8741" width="47.33203125" style="805" customWidth="1"/>
    <col min="8742" max="8742" width="43.6640625" style="805" customWidth="1"/>
    <col min="8743" max="8745" width="47.33203125" style="805" customWidth="1"/>
    <col min="8746" max="8746" width="43.6640625" style="805" customWidth="1"/>
    <col min="8747" max="8747" width="193.33203125" style="805" customWidth="1"/>
    <col min="8748" max="8763" width="56" style="805" customWidth="1"/>
    <col min="8764" max="8764" width="59" style="805" customWidth="1"/>
    <col min="8765" max="8765" width="46" style="805" customWidth="1"/>
    <col min="8766" max="8960" width="9.33203125" style="805"/>
    <col min="8961" max="8961" width="193.33203125" style="805" customWidth="1"/>
    <col min="8962" max="8962" width="47.1640625" style="805" customWidth="1"/>
    <col min="8963" max="8963" width="47.33203125" style="805" customWidth="1"/>
    <col min="8964" max="8964" width="47.1640625" style="805" customWidth="1"/>
    <col min="8965" max="8965" width="43.6640625" style="805" customWidth="1"/>
    <col min="8966" max="8967" width="47.33203125" style="805" customWidth="1"/>
    <col min="8968" max="8968" width="47.1640625" style="805" customWidth="1"/>
    <col min="8969" max="8969" width="43.6640625" style="805" customWidth="1"/>
    <col min="8970" max="8971" width="47.33203125" style="805" customWidth="1"/>
    <col min="8972" max="8972" width="47.1640625" style="805" customWidth="1"/>
    <col min="8973" max="8973" width="43.6640625" style="805" customWidth="1"/>
    <col min="8974" max="8975" width="45" style="805" customWidth="1"/>
    <col min="8976" max="8976" width="44.83203125" style="805" customWidth="1"/>
    <col min="8977" max="8977" width="45" style="805" customWidth="1"/>
    <col min="8978" max="8979" width="47.33203125" style="805" customWidth="1"/>
    <col min="8980" max="8980" width="47.1640625" style="805" customWidth="1"/>
    <col min="8981" max="8981" width="43.6640625" style="805" customWidth="1"/>
    <col min="8982" max="8982" width="193.33203125" style="805" customWidth="1"/>
    <col min="8983" max="8985" width="47.33203125" style="805" customWidth="1"/>
    <col min="8986" max="8986" width="43.6640625" style="805" customWidth="1"/>
    <col min="8987" max="8989" width="47.33203125" style="805" customWidth="1"/>
    <col min="8990" max="8990" width="44" style="805" customWidth="1"/>
    <col min="8991" max="8993" width="47.33203125" style="805" customWidth="1"/>
    <col min="8994" max="8994" width="43.6640625" style="805" customWidth="1"/>
    <col min="8995" max="8997" width="47.33203125" style="805" customWidth="1"/>
    <col min="8998" max="8998" width="43.6640625" style="805" customWidth="1"/>
    <col min="8999" max="9001" width="47.33203125" style="805" customWidth="1"/>
    <col min="9002" max="9002" width="43.6640625" style="805" customWidth="1"/>
    <col min="9003" max="9003" width="193.33203125" style="805" customWidth="1"/>
    <col min="9004" max="9019" width="56" style="805" customWidth="1"/>
    <col min="9020" max="9020" width="59" style="805" customWidth="1"/>
    <col min="9021" max="9021" width="46" style="805" customWidth="1"/>
    <col min="9022" max="9216" width="9.33203125" style="805"/>
    <col min="9217" max="9217" width="193.33203125" style="805" customWidth="1"/>
    <col min="9218" max="9218" width="47.1640625" style="805" customWidth="1"/>
    <col min="9219" max="9219" width="47.33203125" style="805" customWidth="1"/>
    <col min="9220" max="9220" width="47.1640625" style="805" customWidth="1"/>
    <col min="9221" max="9221" width="43.6640625" style="805" customWidth="1"/>
    <col min="9222" max="9223" width="47.33203125" style="805" customWidth="1"/>
    <col min="9224" max="9224" width="47.1640625" style="805" customWidth="1"/>
    <col min="9225" max="9225" width="43.6640625" style="805" customWidth="1"/>
    <col min="9226" max="9227" width="47.33203125" style="805" customWidth="1"/>
    <col min="9228" max="9228" width="47.1640625" style="805" customWidth="1"/>
    <col min="9229" max="9229" width="43.6640625" style="805" customWidth="1"/>
    <col min="9230" max="9231" width="45" style="805" customWidth="1"/>
    <col min="9232" max="9232" width="44.83203125" style="805" customWidth="1"/>
    <col min="9233" max="9233" width="45" style="805" customWidth="1"/>
    <col min="9234" max="9235" width="47.33203125" style="805" customWidth="1"/>
    <col min="9236" max="9236" width="47.1640625" style="805" customWidth="1"/>
    <col min="9237" max="9237" width="43.6640625" style="805" customWidth="1"/>
    <col min="9238" max="9238" width="193.33203125" style="805" customWidth="1"/>
    <col min="9239" max="9241" width="47.33203125" style="805" customWidth="1"/>
    <col min="9242" max="9242" width="43.6640625" style="805" customWidth="1"/>
    <col min="9243" max="9245" width="47.33203125" style="805" customWidth="1"/>
    <col min="9246" max="9246" width="44" style="805" customWidth="1"/>
    <col min="9247" max="9249" width="47.33203125" style="805" customWidth="1"/>
    <col min="9250" max="9250" width="43.6640625" style="805" customWidth="1"/>
    <col min="9251" max="9253" width="47.33203125" style="805" customWidth="1"/>
    <col min="9254" max="9254" width="43.6640625" style="805" customWidth="1"/>
    <col min="9255" max="9257" width="47.33203125" style="805" customWidth="1"/>
    <col min="9258" max="9258" width="43.6640625" style="805" customWidth="1"/>
    <col min="9259" max="9259" width="193.33203125" style="805" customWidth="1"/>
    <col min="9260" max="9275" width="56" style="805" customWidth="1"/>
    <col min="9276" max="9276" width="59" style="805" customWidth="1"/>
    <col min="9277" max="9277" width="46" style="805" customWidth="1"/>
    <col min="9278" max="9472" width="9.33203125" style="805"/>
    <col min="9473" max="9473" width="193.33203125" style="805" customWidth="1"/>
    <col min="9474" max="9474" width="47.1640625" style="805" customWidth="1"/>
    <col min="9475" max="9475" width="47.33203125" style="805" customWidth="1"/>
    <col min="9476" max="9476" width="47.1640625" style="805" customWidth="1"/>
    <col min="9477" max="9477" width="43.6640625" style="805" customWidth="1"/>
    <col min="9478" max="9479" width="47.33203125" style="805" customWidth="1"/>
    <col min="9480" max="9480" width="47.1640625" style="805" customWidth="1"/>
    <col min="9481" max="9481" width="43.6640625" style="805" customWidth="1"/>
    <col min="9482" max="9483" width="47.33203125" style="805" customWidth="1"/>
    <col min="9484" max="9484" width="47.1640625" style="805" customWidth="1"/>
    <col min="9485" max="9485" width="43.6640625" style="805" customWidth="1"/>
    <col min="9486" max="9487" width="45" style="805" customWidth="1"/>
    <col min="9488" max="9488" width="44.83203125" style="805" customWidth="1"/>
    <col min="9489" max="9489" width="45" style="805" customWidth="1"/>
    <col min="9490" max="9491" width="47.33203125" style="805" customWidth="1"/>
    <col min="9492" max="9492" width="47.1640625" style="805" customWidth="1"/>
    <col min="9493" max="9493" width="43.6640625" style="805" customWidth="1"/>
    <col min="9494" max="9494" width="193.33203125" style="805" customWidth="1"/>
    <col min="9495" max="9497" width="47.33203125" style="805" customWidth="1"/>
    <col min="9498" max="9498" width="43.6640625" style="805" customWidth="1"/>
    <col min="9499" max="9501" width="47.33203125" style="805" customWidth="1"/>
    <col min="9502" max="9502" width="44" style="805" customWidth="1"/>
    <col min="9503" max="9505" width="47.33203125" style="805" customWidth="1"/>
    <col min="9506" max="9506" width="43.6640625" style="805" customWidth="1"/>
    <col min="9507" max="9509" width="47.33203125" style="805" customWidth="1"/>
    <col min="9510" max="9510" width="43.6640625" style="805" customWidth="1"/>
    <col min="9511" max="9513" width="47.33203125" style="805" customWidth="1"/>
    <col min="9514" max="9514" width="43.6640625" style="805" customWidth="1"/>
    <col min="9515" max="9515" width="193.33203125" style="805" customWidth="1"/>
    <col min="9516" max="9531" width="56" style="805" customWidth="1"/>
    <col min="9532" max="9532" width="59" style="805" customWidth="1"/>
    <col min="9533" max="9533" width="46" style="805" customWidth="1"/>
    <col min="9534" max="9728" width="9.33203125" style="805"/>
    <col min="9729" max="9729" width="193.33203125" style="805" customWidth="1"/>
    <col min="9730" max="9730" width="47.1640625" style="805" customWidth="1"/>
    <col min="9731" max="9731" width="47.33203125" style="805" customWidth="1"/>
    <col min="9732" max="9732" width="47.1640625" style="805" customWidth="1"/>
    <col min="9733" max="9733" width="43.6640625" style="805" customWidth="1"/>
    <col min="9734" max="9735" width="47.33203125" style="805" customWidth="1"/>
    <col min="9736" max="9736" width="47.1640625" style="805" customWidth="1"/>
    <col min="9737" max="9737" width="43.6640625" style="805" customWidth="1"/>
    <col min="9738" max="9739" width="47.33203125" style="805" customWidth="1"/>
    <col min="9740" max="9740" width="47.1640625" style="805" customWidth="1"/>
    <col min="9741" max="9741" width="43.6640625" style="805" customWidth="1"/>
    <col min="9742" max="9743" width="45" style="805" customWidth="1"/>
    <col min="9744" max="9744" width="44.83203125" style="805" customWidth="1"/>
    <col min="9745" max="9745" width="45" style="805" customWidth="1"/>
    <col min="9746" max="9747" width="47.33203125" style="805" customWidth="1"/>
    <col min="9748" max="9748" width="47.1640625" style="805" customWidth="1"/>
    <col min="9749" max="9749" width="43.6640625" style="805" customWidth="1"/>
    <col min="9750" max="9750" width="193.33203125" style="805" customWidth="1"/>
    <col min="9751" max="9753" width="47.33203125" style="805" customWidth="1"/>
    <col min="9754" max="9754" width="43.6640625" style="805" customWidth="1"/>
    <col min="9755" max="9757" width="47.33203125" style="805" customWidth="1"/>
    <col min="9758" max="9758" width="44" style="805" customWidth="1"/>
    <col min="9759" max="9761" width="47.33203125" style="805" customWidth="1"/>
    <col min="9762" max="9762" width="43.6640625" style="805" customWidth="1"/>
    <col min="9763" max="9765" width="47.33203125" style="805" customWidth="1"/>
    <col min="9766" max="9766" width="43.6640625" style="805" customWidth="1"/>
    <col min="9767" max="9769" width="47.33203125" style="805" customWidth="1"/>
    <col min="9770" max="9770" width="43.6640625" style="805" customWidth="1"/>
    <col min="9771" max="9771" width="193.33203125" style="805" customWidth="1"/>
    <col min="9772" max="9787" width="56" style="805" customWidth="1"/>
    <col min="9788" max="9788" width="59" style="805" customWidth="1"/>
    <col min="9789" max="9789" width="46" style="805" customWidth="1"/>
    <col min="9790" max="9984" width="9.33203125" style="805"/>
    <col min="9985" max="9985" width="193.33203125" style="805" customWidth="1"/>
    <col min="9986" max="9986" width="47.1640625" style="805" customWidth="1"/>
    <col min="9987" max="9987" width="47.33203125" style="805" customWidth="1"/>
    <col min="9988" max="9988" width="47.1640625" style="805" customWidth="1"/>
    <col min="9989" max="9989" width="43.6640625" style="805" customWidth="1"/>
    <col min="9990" max="9991" width="47.33203125" style="805" customWidth="1"/>
    <col min="9992" max="9992" width="47.1640625" style="805" customWidth="1"/>
    <col min="9993" max="9993" width="43.6640625" style="805" customWidth="1"/>
    <col min="9994" max="9995" width="47.33203125" style="805" customWidth="1"/>
    <col min="9996" max="9996" width="47.1640625" style="805" customWidth="1"/>
    <col min="9997" max="9997" width="43.6640625" style="805" customWidth="1"/>
    <col min="9998" max="9999" width="45" style="805" customWidth="1"/>
    <col min="10000" max="10000" width="44.83203125" style="805" customWidth="1"/>
    <col min="10001" max="10001" width="45" style="805" customWidth="1"/>
    <col min="10002" max="10003" width="47.33203125" style="805" customWidth="1"/>
    <col min="10004" max="10004" width="47.1640625" style="805" customWidth="1"/>
    <col min="10005" max="10005" width="43.6640625" style="805" customWidth="1"/>
    <col min="10006" max="10006" width="193.33203125" style="805" customWidth="1"/>
    <col min="10007" max="10009" width="47.33203125" style="805" customWidth="1"/>
    <col min="10010" max="10010" width="43.6640625" style="805" customWidth="1"/>
    <col min="10011" max="10013" width="47.33203125" style="805" customWidth="1"/>
    <col min="10014" max="10014" width="44" style="805" customWidth="1"/>
    <col min="10015" max="10017" width="47.33203125" style="805" customWidth="1"/>
    <col min="10018" max="10018" width="43.6640625" style="805" customWidth="1"/>
    <col min="10019" max="10021" width="47.33203125" style="805" customWidth="1"/>
    <col min="10022" max="10022" width="43.6640625" style="805" customWidth="1"/>
    <col min="10023" max="10025" width="47.33203125" style="805" customWidth="1"/>
    <col min="10026" max="10026" width="43.6640625" style="805" customWidth="1"/>
    <col min="10027" max="10027" width="193.33203125" style="805" customWidth="1"/>
    <col min="10028" max="10043" width="56" style="805" customWidth="1"/>
    <col min="10044" max="10044" width="59" style="805" customWidth="1"/>
    <col min="10045" max="10045" width="46" style="805" customWidth="1"/>
    <col min="10046" max="10240" width="9.33203125" style="805"/>
    <col min="10241" max="10241" width="193.33203125" style="805" customWidth="1"/>
    <col min="10242" max="10242" width="47.1640625" style="805" customWidth="1"/>
    <col min="10243" max="10243" width="47.33203125" style="805" customWidth="1"/>
    <col min="10244" max="10244" width="47.1640625" style="805" customWidth="1"/>
    <col min="10245" max="10245" width="43.6640625" style="805" customWidth="1"/>
    <col min="10246" max="10247" width="47.33203125" style="805" customWidth="1"/>
    <col min="10248" max="10248" width="47.1640625" style="805" customWidth="1"/>
    <col min="10249" max="10249" width="43.6640625" style="805" customWidth="1"/>
    <col min="10250" max="10251" width="47.33203125" style="805" customWidth="1"/>
    <col min="10252" max="10252" width="47.1640625" style="805" customWidth="1"/>
    <col min="10253" max="10253" width="43.6640625" style="805" customWidth="1"/>
    <col min="10254" max="10255" width="45" style="805" customWidth="1"/>
    <col min="10256" max="10256" width="44.83203125" style="805" customWidth="1"/>
    <col min="10257" max="10257" width="45" style="805" customWidth="1"/>
    <col min="10258" max="10259" width="47.33203125" style="805" customWidth="1"/>
    <col min="10260" max="10260" width="47.1640625" style="805" customWidth="1"/>
    <col min="10261" max="10261" width="43.6640625" style="805" customWidth="1"/>
    <col min="10262" max="10262" width="193.33203125" style="805" customWidth="1"/>
    <col min="10263" max="10265" width="47.33203125" style="805" customWidth="1"/>
    <col min="10266" max="10266" width="43.6640625" style="805" customWidth="1"/>
    <col min="10267" max="10269" width="47.33203125" style="805" customWidth="1"/>
    <col min="10270" max="10270" width="44" style="805" customWidth="1"/>
    <col min="10271" max="10273" width="47.33203125" style="805" customWidth="1"/>
    <col min="10274" max="10274" width="43.6640625" style="805" customWidth="1"/>
    <col min="10275" max="10277" width="47.33203125" style="805" customWidth="1"/>
    <col min="10278" max="10278" width="43.6640625" style="805" customWidth="1"/>
    <col min="10279" max="10281" width="47.33203125" style="805" customWidth="1"/>
    <col min="10282" max="10282" width="43.6640625" style="805" customWidth="1"/>
    <col min="10283" max="10283" width="193.33203125" style="805" customWidth="1"/>
    <col min="10284" max="10299" width="56" style="805" customWidth="1"/>
    <col min="10300" max="10300" width="59" style="805" customWidth="1"/>
    <col min="10301" max="10301" width="46" style="805" customWidth="1"/>
    <col min="10302" max="10496" width="9.33203125" style="805"/>
    <col min="10497" max="10497" width="193.33203125" style="805" customWidth="1"/>
    <col min="10498" max="10498" width="47.1640625" style="805" customWidth="1"/>
    <col min="10499" max="10499" width="47.33203125" style="805" customWidth="1"/>
    <col min="10500" max="10500" width="47.1640625" style="805" customWidth="1"/>
    <col min="10501" max="10501" width="43.6640625" style="805" customWidth="1"/>
    <col min="10502" max="10503" width="47.33203125" style="805" customWidth="1"/>
    <col min="10504" max="10504" width="47.1640625" style="805" customWidth="1"/>
    <col min="10505" max="10505" width="43.6640625" style="805" customWidth="1"/>
    <col min="10506" max="10507" width="47.33203125" style="805" customWidth="1"/>
    <col min="10508" max="10508" width="47.1640625" style="805" customWidth="1"/>
    <col min="10509" max="10509" width="43.6640625" style="805" customWidth="1"/>
    <col min="10510" max="10511" width="45" style="805" customWidth="1"/>
    <col min="10512" max="10512" width="44.83203125" style="805" customWidth="1"/>
    <col min="10513" max="10513" width="45" style="805" customWidth="1"/>
    <col min="10514" max="10515" width="47.33203125" style="805" customWidth="1"/>
    <col min="10516" max="10516" width="47.1640625" style="805" customWidth="1"/>
    <col min="10517" max="10517" width="43.6640625" style="805" customWidth="1"/>
    <col min="10518" max="10518" width="193.33203125" style="805" customWidth="1"/>
    <col min="10519" max="10521" width="47.33203125" style="805" customWidth="1"/>
    <col min="10522" max="10522" width="43.6640625" style="805" customWidth="1"/>
    <col min="10523" max="10525" width="47.33203125" style="805" customWidth="1"/>
    <col min="10526" max="10526" width="44" style="805" customWidth="1"/>
    <col min="10527" max="10529" width="47.33203125" style="805" customWidth="1"/>
    <col min="10530" max="10530" width="43.6640625" style="805" customWidth="1"/>
    <col min="10531" max="10533" width="47.33203125" style="805" customWidth="1"/>
    <col min="10534" max="10534" width="43.6640625" style="805" customWidth="1"/>
    <col min="10535" max="10537" width="47.33203125" style="805" customWidth="1"/>
    <col min="10538" max="10538" width="43.6640625" style="805" customWidth="1"/>
    <col min="10539" max="10539" width="193.33203125" style="805" customWidth="1"/>
    <col min="10540" max="10555" width="56" style="805" customWidth="1"/>
    <col min="10556" max="10556" width="59" style="805" customWidth="1"/>
    <col min="10557" max="10557" width="46" style="805" customWidth="1"/>
    <col min="10558" max="10752" width="9.33203125" style="805"/>
    <col min="10753" max="10753" width="193.33203125" style="805" customWidth="1"/>
    <col min="10754" max="10754" width="47.1640625" style="805" customWidth="1"/>
    <col min="10755" max="10755" width="47.33203125" style="805" customWidth="1"/>
    <col min="10756" max="10756" width="47.1640625" style="805" customWidth="1"/>
    <col min="10757" max="10757" width="43.6640625" style="805" customWidth="1"/>
    <col min="10758" max="10759" width="47.33203125" style="805" customWidth="1"/>
    <col min="10760" max="10760" width="47.1640625" style="805" customWidth="1"/>
    <col min="10761" max="10761" width="43.6640625" style="805" customWidth="1"/>
    <col min="10762" max="10763" width="47.33203125" style="805" customWidth="1"/>
    <col min="10764" max="10764" width="47.1640625" style="805" customWidth="1"/>
    <col min="10765" max="10765" width="43.6640625" style="805" customWidth="1"/>
    <col min="10766" max="10767" width="45" style="805" customWidth="1"/>
    <col min="10768" max="10768" width="44.83203125" style="805" customWidth="1"/>
    <col min="10769" max="10769" width="45" style="805" customWidth="1"/>
    <col min="10770" max="10771" width="47.33203125" style="805" customWidth="1"/>
    <col min="10772" max="10772" width="47.1640625" style="805" customWidth="1"/>
    <col min="10773" max="10773" width="43.6640625" style="805" customWidth="1"/>
    <col min="10774" max="10774" width="193.33203125" style="805" customWidth="1"/>
    <col min="10775" max="10777" width="47.33203125" style="805" customWidth="1"/>
    <col min="10778" max="10778" width="43.6640625" style="805" customWidth="1"/>
    <col min="10779" max="10781" width="47.33203125" style="805" customWidth="1"/>
    <col min="10782" max="10782" width="44" style="805" customWidth="1"/>
    <col min="10783" max="10785" width="47.33203125" style="805" customWidth="1"/>
    <col min="10786" max="10786" width="43.6640625" style="805" customWidth="1"/>
    <col min="10787" max="10789" width="47.33203125" style="805" customWidth="1"/>
    <col min="10790" max="10790" width="43.6640625" style="805" customWidth="1"/>
    <col min="10791" max="10793" width="47.33203125" style="805" customWidth="1"/>
    <col min="10794" max="10794" width="43.6640625" style="805" customWidth="1"/>
    <col min="10795" max="10795" width="193.33203125" style="805" customWidth="1"/>
    <col min="10796" max="10811" width="56" style="805" customWidth="1"/>
    <col min="10812" max="10812" width="59" style="805" customWidth="1"/>
    <col min="10813" max="10813" width="46" style="805" customWidth="1"/>
    <col min="10814" max="11008" width="9.33203125" style="805"/>
    <col min="11009" max="11009" width="193.33203125" style="805" customWidth="1"/>
    <col min="11010" max="11010" width="47.1640625" style="805" customWidth="1"/>
    <col min="11011" max="11011" width="47.33203125" style="805" customWidth="1"/>
    <col min="11012" max="11012" width="47.1640625" style="805" customWidth="1"/>
    <col min="11013" max="11013" width="43.6640625" style="805" customWidth="1"/>
    <col min="11014" max="11015" width="47.33203125" style="805" customWidth="1"/>
    <col min="11016" max="11016" width="47.1640625" style="805" customWidth="1"/>
    <col min="11017" max="11017" width="43.6640625" style="805" customWidth="1"/>
    <col min="11018" max="11019" width="47.33203125" style="805" customWidth="1"/>
    <col min="11020" max="11020" width="47.1640625" style="805" customWidth="1"/>
    <col min="11021" max="11021" width="43.6640625" style="805" customWidth="1"/>
    <col min="11022" max="11023" width="45" style="805" customWidth="1"/>
    <col min="11024" max="11024" width="44.83203125" style="805" customWidth="1"/>
    <col min="11025" max="11025" width="45" style="805" customWidth="1"/>
    <col min="11026" max="11027" width="47.33203125" style="805" customWidth="1"/>
    <col min="11028" max="11028" width="47.1640625" style="805" customWidth="1"/>
    <col min="11029" max="11029" width="43.6640625" style="805" customWidth="1"/>
    <col min="11030" max="11030" width="193.33203125" style="805" customWidth="1"/>
    <col min="11031" max="11033" width="47.33203125" style="805" customWidth="1"/>
    <col min="11034" max="11034" width="43.6640625" style="805" customWidth="1"/>
    <col min="11035" max="11037" width="47.33203125" style="805" customWidth="1"/>
    <col min="11038" max="11038" width="44" style="805" customWidth="1"/>
    <col min="11039" max="11041" width="47.33203125" style="805" customWidth="1"/>
    <col min="11042" max="11042" width="43.6640625" style="805" customWidth="1"/>
    <col min="11043" max="11045" width="47.33203125" style="805" customWidth="1"/>
    <col min="11046" max="11046" width="43.6640625" style="805" customWidth="1"/>
    <col min="11047" max="11049" width="47.33203125" style="805" customWidth="1"/>
    <col min="11050" max="11050" width="43.6640625" style="805" customWidth="1"/>
    <col min="11051" max="11051" width="193.33203125" style="805" customWidth="1"/>
    <col min="11052" max="11067" width="56" style="805" customWidth="1"/>
    <col min="11068" max="11068" width="59" style="805" customWidth="1"/>
    <col min="11069" max="11069" width="46" style="805" customWidth="1"/>
    <col min="11070" max="11264" width="9.33203125" style="805"/>
    <col min="11265" max="11265" width="193.33203125" style="805" customWidth="1"/>
    <col min="11266" max="11266" width="47.1640625" style="805" customWidth="1"/>
    <col min="11267" max="11267" width="47.33203125" style="805" customWidth="1"/>
    <col min="11268" max="11268" width="47.1640625" style="805" customWidth="1"/>
    <col min="11269" max="11269" width="43.6640625" style="805" customWidth="1"/>
    <col min="11270" max="11271" width="47.33203125" style="805" customWidth="1"/>
    <col min="11272" max="11272" width="47.1640625" style="805" customWidth="1"/>
    <col min="11273" max="11273" width="43.6640625" style="805" customWidth="1"/>
    <col min="11274" max="11275" width="47.33203125" style="805" customWidth="1"/>
    <col min="11276" max="11276" width="47.1640625" style="805" customWidth="1"/>
    <col min="11277" max="11277" width="43.6640625" style="805" customWidth="1"/>
    <col min="11278" max="11279" width="45" style="805" customWidth="1"/>
    <col min="11280" max="11280" width="44.83203125" style="805" customWidth="1"/>
    <col min="11281" max="11281" width="45" style="805" customWidth="1"/>
    <col min="11282" max="11283" width="47.33203125" style="805" customWidth="1"/>
    <col min="11284" max="11284" width="47.1640625" style="805" customWidth="1"/>
    <col min="11285" max="11285" width="43.6640625" style="805" customWidth="1"/>
    <col min="11286" max="11286" width="193.33203125" style="805" customWidth="1"/>
    <col min="11287" max="11289" width="47.33203125" style="805" customWidth="1"/>
    <col min="11290" max="11290" width="43.6640625" style="805" customWidth="1"/>
    <col min="11291" max="11293" width="47.33203125" style="805" customWidth="1"/>
    <col min="11294" max="11294" width="44" style="805" customWidth="1"/>
    <col min="11295" max="11297" width="47.33203125" style="805" customWidth="1"/>
    <col min="11298" max="11298" width="43.6640625" style="805" customWidth="1"/>
    <col min="11299" max="11301" width="47.33203125" style="805" customWidth="1"/>
    <col min="11302" max="11302" width="43.6640625" style="805" customWidth="1"/>
    <col min="11303" max="11305" width="47.33203125" style="805" customWidth="1"/>
    <col min="11306" max="11306" width="43.6640625" style="805" customWidth="1"/>
    <col min="11307" max="11307" width="193.33203125" style="805" customWidth="1"/>
    <col min="11308" max="11323" width="56" style="805" customWidth="1"/>
    <col min="11324" max="11324" width="59" style="805" customWidth="1"/>
    <col min="11325" max="11325" width="46" style="805" customWidth="1"/>
    <col min="11326" max="11520" width="9.33203125" style="805"/>
    <col min="11521" max="11521" width="193.33203125" style="805" customWidth="1"/>
    <col min="11522" max="11522" width="47.1640625" style="805" customWidth="1"/>
    <col min="11523" max="11523" width="47.33203125" style="805" customWidth="1"/>
    <col min="11524" max="11524" width="47.1640625" style="805" customWidth="1"/>
    <col min="11525" max="11525" width="43.6640625" style="805" customWidth="1"/>
    <col min="11526" max="11527" width="47.33203125" style="805" customWidth="1"/>
    <col min="11528" max="11528" width="47.1640625" style="805" customWidth="1"/>
    <col min="11529" max="11529" width="43.6640625" style="805" customWidth="1"/>
    <col min="11530" max="11531" width="47.33203125" style="805" customWidth="1"/>
    <col min="11532" max="11532" width="47.1640625" style="805" customWidth="1"/>
    <col min="11533" max="11533" width="43.6640625" style="805" customWidth="1"/>
    <col min="11534" max="11535" width="45" style="805" customWidth="1"/>
    <col min="11536" max="11536" width="44.83203125" style="805" customWidth="1"/>
    <col min="11537" max="11537" width="45" style="805" customWidth="1"/>
    <col min="11538" max="11539" width="47.33203125" style="805" customWidth="1"/>
    <col min="11540" max="11540" width="47.1640625" style="805" customWidth="1"/>
    <col min="11541" max="11541" width="43.6640625" style="805" customWidth="1"/>
    <col min="11542" max="11542" width="193.33203125" style="805" customWidth="1"/>
    <col min="11543" max="11545" width="47.33203125" style="805" customWidth="1"/>
    <col min="11546" max="11546" width="43.6640625" style="805" customWidth="1"/>
    <col min="11547" max="11549" width="47.33203125" style="805" customWidth="1"/>
    <col min="11550" max="11550" width="44" style="805" customWidth="1"/>
    <col min="11551" max="11553" width="47.33203125" style="805" customWidth="1"/>
    <col min="11554" max="11554" width="43.6640625" style="805" customWidth="1"/>
    <col min="11555" max="11557" width="47.33203125" style="805" customWidth="1"/>
    <col min="11558" max="11558" width="43.6640625" style="805" customWidth="1"/>
    <col min="11559" max="11561" width="47.33203125" style="805" customWidth="1"/>
    <col min="11562" max="11562" width="43.6640625" style="805" customWidth="1"/>
    <col min="11563" max="11563" width="193.33203125" style="805" customWidth="1"/>
    <col min="11564" max="11579" width="56" style="805" customWidth="1"/>
    <col min="11580" max="11580" width="59" style="805" customWidth="1"/>
    <col min="11581" max="11581" width="46" style="805" customWidth="1"/>
    <col min="11582" max="11776" width="9.33203125" style="805"/>
    <col min="11777" max="11777" width="193.33203125" style="805" customWidth="1"/>
    <col min="11778" max="11778" width="47.1640625" style="805" customWidth="1"/>
    <col min="11779" max="11779" width="47.33203125" style="805" customWidth="1"/>
    <col min="11780" max="11780" width="47.1640625" style="805" customWidth="1"/>
    <col min="11781" max="11781" width="43.6640625" style="805" customWidth="1"/>
    <col min="11782" max="11783" width="47.33203125" style="805" customWidth="1"/>
    <col min="11784" max="11784" width="47.1640625" style="805" customWidth="1"/>
    <col min="11785" max="11785" width="43.6640625" style="805" customWidth="1"/>
    <col min="11786" max="11787" width="47.33203125" style="805" customWidth="1"/>
    <col min="11788" max="11788" width="47.1640625" style="805" customWidth="1"/>
    <col min="11789" max="11789" width="43.6640625" style="805" customWidth="1"/>
    <col min="11790" max="11791" width="45" style="805" customWidth="1"/>
    <col min="11792" max="11792" width="44.83203125" style="805" customWidth="1"/>
    <col min="11793" max="11793" width="45" style="805" customWidth="1"/>
    <col min="11794" max="11795" width="47.33203125" style="805" customWidth="1"/>
    <col min="11796" max="11796" width="47.1640625" style="805" customWidth="1"/>
    <col min="11797" max="11797" width="43.6640625" style="805" customWidth="1"/>
    <col min="11798" max="11798" width="193.33203125" style="805" customWidth="1"/>
    <col min="11799" max="11801" width="47.33203125" style="805" customWidth="1"/>
    <col min="11802" max="11802" width="43.6640625" style="805" customWidth="1"/>
    <col min="11803" max="11805" width="47.33203125" style="805" customWidth="1"/>
    <col min="11806" max="11806" width="44" style="805" customWidth="1"/>
    <col min="11807" max="11809" width="47.33203125" style="805" customWidth="1"/>
    <col min="11810" max="11810" width="43.6640625" style="805" customWidth="1"/>
    <col min="11811" max="11813" width="47.33203125" style="805" customWidth="1"/>
    <col min="11814" max="11814" width="43.6640625" style="805" customWidth="1"/>
    <col min="11815" max="11817" width="47.33203125" style="805" customWidth="1"/>
    <col min="11818" max="11818" width="43.6640625" style="805" customWidth="1"/>
    <col min="11819" max="11819" width="193.33203125" style="805" customWidth="1"/>
    <col min="11820" max="11835" width="56" style="805" customWidth="1"/>
    <col min="11836" max="11836" width="59" style="805" customWidth="1"/>
    <col min="11837" max="11837" width="46" style="805" customWidth="1"/>
    <col min="11838" max="12032" width="9.33203125" style="805"/>
    <col min="12033" max="12033" width="193.33203125" style="805" customWidth="1"/>
    <col min="12034" max="12034" width="47.1640625" style="805" customWidth="1"/>
    <col min="12035" max="12035" width="47.33203125" style="805" customWidth="1"/>
    <col min="12036" max="12036" width="47.1640625" style="805" customWidth="1"/>
    <col min="12037" max="12037" width="43.6640625" style="805" customWidth="1"/>
    <col min="12038" max="12039" width="47.33203125" style="805" customWidth="1"/>
    <col min="12040" max="12040" width="47.1640625" style="805" customWidth="1"/>
    <col min="12041" max="12041" width="43.6640625" style="805" customWidth="1"/>
    <col min="12042" max="12043" width="47.33203125" style="805" customWidth="1"/>
    <col min="12044" max="12044" width="47.1640625" style="805" customWidth="1"/>
    <col min="12045" max="12045" width="43.6640625" style="805" customWidth="1"/>
    <col min="12046" max="12047" width="45" style="805" customWidth="1"/>
    <col min="12048" max="12048" width="44.83203125" style="805" customWidth="1"/>
    <col min="12049" max="12049" width="45" style="805" customWidth="1"/>
    <col min="12050" max="12051" width="47.33203125" style="805" customWidth="1"/>
    <col min="12052" max="12052" width="47.1640625" style="805" customWidth="1"/>
    <col min="12053" max="12053" width="43.6640625" style="805" customWidth="1"/>
    <col min="12054" max="12054" width="193.33203125" style="805" customWidth="1"/>
    <col min="12055" max="12057" width="47.33203125" style="805" customWidth="1"/>
    <col min="12058" max="12058" width="43.6640625" style="805" customWidth="1"/>
    <col min="12059" max="12061" width="47.33203125" style="805" customWidth="1"/>
    <col min="12062" max="12062" width="44" style="805" customWidth="1"/>
    <col min="12063" max="12065" width="47.33203125" style="805" customWidth="1"/>
    <col min="12066" max="12066" width="43.6640625" style="805" customWidth="1"/>
    <col min="12067" max="12069" width="47.33203125" style="805" customWidth="1"/>
    <col min="12070" max="12070" width="43.6640625" style="805" customWidth="1"/>
    <col min="12071" max="12073" width="47.33203125" style="805" customWidth="1"/>
    <col min="12074" max="12074" width="43.6640625" style="805" customWidth="1"/>
    <col min="12075" max="12075" width="193.33203125" style="805" customWidth="1"/>
    <col min="12076" max="12091" width="56" style="805" customWidth="1"/>
    <col min="12092" max="12092" width="59" style="805" customWidth="1"/>
    <col min="12093" max="12093" width="46" style="805" customWidth="1"/>
    <col min="12094" max="12288" width="9.33203125" style="805"/>
    <col min="12289" max="12289" width="193.33203125" style="805" customWidth="1"/>
    <col min="12290" max="12290" width="47.1640625" style="805" customWidth="1"/>
    <col min="12291" max="12291" width="47.33203125" style="805" customWidth="1"/>
    <col min="12292" max="12292" width="47.1640625" style="805" customWidth="1"/>
    <col min="12293" max="12293" width="43.6640625" style="805" customWidth="1"/>
    <col min="12294" max="12295" width="47.33203125" style="805" customWidth="1"/>
    <col min="12296" max="12296" width="47.1640625" style="805" customWidth="1"/>
    <col min="12297" max="12297" width="43.6640625" style="805" customWidth="1"/>
    <col min="12298" max="12299" width="47.33203125" style="805" customWidth="1"/>
    <col min="12300" max="12300" width="47.1640625" style="805" customWidth="1"/>
    <col min="12301" max="12301" width="43.6640625" style="805" customWidth="1"/>
    <col min="12302" max="12303" width="45" style="805" customWidth="1"/>
    <col min="12304" max="12304" width="44.83203125" style="805" customWidth="1"/>
    <col min="12305" max="12305" width="45" style="805" customWidth="1"/>
    <col min="12306" max="12307" width="47.33203125" style="805" customWidth="1"/>
    <col min="12308" max="12308" width="47.1640625" style="805" customWidth="1"/>
    <col min="12309" max="12309" width="43.6640625" style="805" customWidth="1"/>
    <col min="12310" max="12310" width="193.33203125" style="805" customWidth="1"/>
    <col min="12311" max="12313" width="47.33203125" style="805" customWidth="1"/>
    <col min="12314" max="12314" width="43.6640625" style="805" customWidth="1"/>
    <col min="12315" max="12317" width="47.33203125" style="805" customWidth="1"/>
    <col min="12318" max="12318" width="44" style="805" customWidth="1"/>
    <col min="12319" max="12321" width="47.33203125" style="805" customWidth="1"/>
    <col min="12322" max="12322" width="43.6640625" style="805" customWidth="1"/>
    <col min="12323" max="12325" width="47.33203125" style="805" customWidth="1"/>
    <col min="12326" max="12326" width="43.6640625" style="805" customWidth="1"/>
    <col min="12327" max="12329" width="47.33203125" style="805" customWidth="1"/>
    <col min="12330" max="12330" width="43.6640625" style="805" customWidth="1"/>
    <col min="12331" max="12331" width="193.33203125" style="805" customWidth="1"/>
    <col min="12332" max="12347" width="56" style="805" customWidth="1"/>
    <col min="12348" max="12348" width="59" style="805" customWidth="1"/>
    <col min="12349" max="12349" width="46" style="805" customWidth="1"/>
    <col min="12350" max="12544" width="9.33203125" style="805"/>
    <col min="12545" max="12545" width="193.33203125" style="805" customWidth="1"/>
    <col min="12546" max="12546" width="47.1640625" style="805" customWidth="1"/>
    <col min="12547" max="12547" width="47.33203125" style="805" customWidth="1"/>
    <col min="12548" max="12548" width="47.1640625" style="805" customWidth="1"/>
    <col min="12549" max="12549" width="43.6640625" style="805" customWidth="1"/>
    <col min="12550" max="12551" width="47.33203125" style="805" customWidth="1"/>
    <col min="12552" max="12552" width="47.1640625" style="805" customWidth="1"/>
    <col min="12553" max="12553" width="43.6640625" style="805" customWidth="1"/>
    <col min="12554" max="12555" width="47.33203125" style="805" customWidth="1"/>
    <col min="12556" max="12556" width="47.1640625" style="805" customWidth="1"/>
    <col min="12557" max="12557" width="43.6640625" style="805" customWidth="1"/>
    <col min="12558" max="12559" width="45" style="805" customWidth="1"/>
    <col min="12560" max="12560" width="44.83203125" style="805" customWidth="1"/>
    <col min="12561" max="12561" width="45" style="805" customWidth="1"/>
    <col min="12562" max="12563" width="47.33203125" style="805" customWidth="1"/>
    <col min="12564" max="12564" width="47.1640625" style="805" customWidth="1"/>
    <col min="12565" max="12565" width="43.6640625" style="805" customWidth="1"/>
    <col min="12566" max="12566" width="193.33203125" style="805" customWidth="1"/>
    <col min="12567" max="12569" width="47.33203125" style="805" customWidth="1"/>
    <col min="12570" max="12570" width="43.6640625" style="805" customWidth="1"/>
    <col min="12571" max="12573" width="47.33203125" style="805" customWidth="1"/>
    <col min="12574" max="12574" width="44" style="805" customWidth="1"/>
    <col min="12575" max="12577" width="47.33203125" style="805" customWidth="1"/>
    <col min="12578" max="12578" width="43.6640625" style="805" customWidth="1"/>
    <col min="12579" max="12581" width="47.33203125" style="805" customWidth="1"/>
    <col min="12582" max="12582" width="43.6640625" style="805" customWidth="1"/>
    <col min="12583" max="12585" width="47.33203125" style="805" customWidth="1"/>
    <col min="12586" max="12586" width="43.6640625" style="805" customWidth="1"/>
    <col min="12587" max="12587" width="193.33203125" style="805" customWidth="1"/>
    <col min="12588" max="12603" width="56" style="805" customWidth="1"/>
    <col min="12604" max="12604" width="59" style="805" customWidth="1"/>
    <col min="12605" max="12605" width="46" style="805" customWidth="1"/>
    <col min="12606" max="12800" width="9.33203125" style="805"/>
    <col min="12801" max="12801" width="193.33203125" style="805" customWidth="1"/>
    <col min="12802" max="12802" width="47.1640625" style="805" customWidth="1"/>
    <col min="12803" max="12803" width="47.33203125" style="805" customWidth="1"/>
    <col min="12804" max="12804" width="47.1640625" style="805" customWidth="1"/>
    <col min="12805" max="12805" width="43.6640625" style="805" customWidth="1"/>
    <col min="12806" max="12807" width="47.33203125" style="805" customWidth="1"/>
    <col min="12808" max="12808" width="47.1640625" style="805" customWidth="1"/>
    <col min="12809" max="12809" width="43.6640625" style="805" customWidth="1"/>
    <col min="12810" max="12811" width="47.33203125" style="805" customWidth="1"/>
    <col min="12812" max="12812" width="47.1640625" style="805" customWidth="1"/>
    <col min="12813" max="12813" width="43.6640625" style="805" customWidth="1"/>
    <col min="12814" max="12815" width="45" style="805" customWidth="1"/>
    <col min="12816" max="12816" width="44.83203125" style="805" customWidth="1"/>
    <col min="12817" max="12817" width="45" style="805" customWidth="1"/>
    <col min="12818" max="12819" width="47.33203125" style="805" customWidth="1"/>
    <col min="12820" max="12820" width="47.1640625" style="805" customWidth="1"/>
    <col min="12821" max="12821" width="43.6640625" style="805" customWidth="1"/>
    <col min="12822" max="12822" width="193.33203125" style="805" customWidth="1"/>
    <col min="12823" max="12825" width="47.33203125" style="805" customWidth="1"/>
    <col min="12826" max="12826" width="43.6640625" style="805" customWidth="1"/>
    <col min="12827" max="12829" width="47.33203125" style="805" customWidth="1"/>
    <col min="12830" max="12830" width="44" style="805" customWidth="1"/>
    <col min="12831" max="12833" width="47.33203125" style="805" customWidth="1"/>
    <col min="12834" max="12834" width="43.6640625" style="805" customWidth="1"/>
    <col min="12835" max="12837" width="47.33203125" style="805" customWidth="1"/>
    <col min="12838" max="12838" width="43.6640625" style="805" customWidth="1"/>
    <col min="12839" max="12841" width="47.33203125" style="805" customWidth="1"/>
    <col min="12842" max="12842" width="43.6640625" style="805" customWidth="1"/>
    <col min="12843" max="12843" width="193.33203125" style="805" customWidth="1"/>
    <col min="12844" max="12859" width="56" style="805" customWidth="1"/>
    <col min="12860" max="12860" width="59" style="805" customWidth="1"/>
    <col min="12861" max="12861" width="46" style="805" customWidth="1"/>
    <col min="12862" max="13056" width="9.33203125" style="805"/>
    <col min="13057" max="13057" width="193.33203125" style="805" customWidth="1"/>
    <col min="13058" max="13058" width="47.1640625" style="805" customWidth="1"/>
    <col min="13059" max="13059" width="47.33203125" style="805" customWidth="1"/>
    <col min="13060" max="13060" width="47.1640625" style="805" customWidth="1"/>
    <col min="13061" max="13061" width="43.6640625" style="805" customWidth="1"/>
    <col min="13062" max="13063" width="47.33203125" style="805" customWidth="1"/>
    <col min="13064" max="13064" width="47.1640625" style="805" customWidth="1"/>
    <col min="13065" max="13065" width="43.6640625" style="805" customWidth="1"/>
    <col min="13066" max="13067" width="47.33203125" style="805" customWidth="1"/>
    <col min="13068" max="13068" width="47.1640625" style="805" customWidth="1"/>
    <col min="13069" max="13069" width="43.6640625" style="805" customWidth="1"/>
    <col min="13070" max="13071" width="45" style="805" customWidth="1"/>
    <col min="13072" max="13072" width="44.83203125" style="805" customWidth="1"/>
    <col min="13073" max="13073" width="45" style="805" customWidth="1"/>
    <col min="13074" max="13075" width="47.33203125" style="805" customWidth="1"/>
    <col min="13076" max="13076" width="47.1640625" style="805" customWidth="1"/>
    <col min="13077" max="13077" width="43.6640625" style="805" customWidth="1"/>
    <col min="13078" max="13078" width="193.33203125" style="805" customWidth="1"/>
    <col min="13079" max="13081" width="47.33203125" style="805" customWidth="1"/>
    <col min="13082" max="13082" width="43.6640625" style="805" customWidth="1"/>
    <col min="13083" max="13085" width="47.33203125" style="805" customWidth="1"/>
    <col min="13086" max="13086" width="44" style="805" customWidth="1"/>
    <col min="13087" max="13089" width="47.33203125" style="805" customWidth="1"/>
    <col min="13090" max="13090" width="43.6640625" style="805" customWidth="1"/>
    <col min="13091" max="13093" width="47.33203125" style="805" customWidth="1"/>
    <col min="13094" max="13094" width="43.6640625" style="805" customWidth="1"/>
    <col min="13095" max="13097" width="47.33203125" style="805" customWidth="1"/>
    <col min="13098" max="13098" width="43.6640625" style="805" customWidth="1"/>
    <col min="13099" max="13099" width="193.33203125" style="805" customWidth="1"/>
    <col min="13100" max="13115" width="56" style="805" customWidth="1"/>
    <col min="13116" max="13116" width="59" style="805" customWidth="1"/>
    <col min="13117" max="13117" width="46" style="805" customWidth="1"/>
    <col min="13118" max="13312" width="9.33203125" style="805"/>
    <col min="13313" max="13313" width="193.33203125" style="805" customWidth="1"/>
    <col min="13314" max="13314" width="47.1640625" style="805" customWidth="1"/>
    <col min="13315" max="13315" width="47.33203125" style="805" customWidth="1"/>
    <col min="13316" max="13316" width="47.1640625" style="805" customWidth="1"/>
    <col min="13317" max="13317" width="43.6640625" style="805" customWidth="1"/>
    <col min="13318" max="13319" width="47.33203125" style="805" customWidth="1"/>
    <col min="13320" max="13320" width="47.1640625" style="805" customWidth="1"/>
    <col min="13321" max="13321" width="43.6640625" style="805" customWidth="1"/>
    <col min="13322" max="13323" width="47.33203125" style="805" customWidth="1"/>
    <col min="13324" max="13324" width="47.1640625" style="805" customWidth="1"/>
    <col min="13325" max="13325" width="43.6640625" style="805" customWidth="1"/>
    <col min="13326" max="13327" width="45" style="805" customWidth="1"/>
    <col min="13328" max="13328" width="44.83203125" style="805" customWidth="1"/>
    <col min="13329" max="13329" width="45" style="805" customWidth="1"/>
    <col min="13330" max="13331" width="47.33203125" style="805" customWidth="1"/>
    <col min="13332" max="13332" width="47.1640625" style="805" customWidth="1"/>
    <col min="13333" max="13333" width="43.6640625" style="805" customWidth="1"/>
    <col min="13334" max="13334" width="193.33203125" style="805" customWidth="1"/>
    <col min="13335" max="13337" width="47.33203125" style="805" customWidth="1"/>
    <col min="13338" max="13338" width="43.6640625" style="805" customWidth="1"/>
    <col min="13339" max="13341" width="47.33203125" style="805" customWidth="1"/>
    <col min="13342" max="13342" width="44" style="805" customWidth="1"/>
    <col min="13343" max="13345" width="47.33203125" style="805" customWidth="1"/>
    <col min="13346" max="13346" width="43.6640625" style="805" customWidth="1"/>
    <col min="13347" max="13349" width="47.33203125" style="805" customWidth="1"/>
    <col min="13350" max="13350" width="43.6640625" style="805" customWidth="1"/>
    <col min="13351" max="13353" width="47.33203125" style="805" customWidth="1"/>
    <col min="13354" max="13354" width="43.6640625" style="805" customWidth="1"/>
    <col min="13355" max="13355" width="193.33203125" style="805" customWidth="1"/>
    <col min="13356" max="13371" width="56" style="805" customWidth="1"/>
    <col min="13372" max="13372" width="59" style="805" customWidth="1"/>
    <col min="13373" max="13373" width="46" style="805" customWidth="1"/>
    <col min="13374" max="13568" width="9.33203125" style="805"/>
    <col min="13569" max="13569" width="193.33203125" style="805" customWidth="1"/>
    <col min="13570" max="13570" width="47.1640625" style="805" customWidth="1"/>
    <col min="13571" max="13571" width="47.33203125" style="805" customWidth="1"/>
    <col min="13572" max="13572" width="47.1640625" style="805" customWidth="1"/>
    <col min="13573" max="13573" width="43.6640625" style="805" customWidth="1"/>
    <col min="13574" max="13575" width="47.33203125" style="805" customWidth="1"/>
    <col min="13576" max="13576" width="47.1640625" style="805" customWidth="1"/>
    <col min="13577" max="13577" width="43.6640625" style="805" customWidth="1"/>
    <col min="13578" max="13579" width="47.33203125" style="805" customWidth="1"/>
    <col min="13580" max="13580" width="47.1640625" style="805" customWidth="1"/>
    <col min="13581" max="13581" width="43.6640625" style="805" customWidth="1"/>
    <col min="13582" max="13583" width="45" style="805" customWidth="1"/>
    <col min="13584" max="13584" width="44.83203125" style="805" customWidth="1"/>
    <col min="13585" max="13585" width="45" style="805" customWidth="1"/>
    <col min="13586" max="13587" width="47.33203125" style="805" customWidth="1"/>
    <col min="13588" max="13588" width="47.1640625" style="805" customWidth="1"/>
    <col min="13589" max="13589" width="43.6640625" style="805" customWidth="1"/>
    <col min="13590" max="13590" width="193.33203125" style="805" customWidth="1"/>
    <col min="13591" max="13593" width="47.33203125" style="805" customWidth="1"/>
    <col min="13594" max="13594" width="43.6640625" style="805" customWidth="1"/>
    <col min="13595" max="13597" width="47.33203125" style="805" customWidth="1"/>
    <col min="13598" max="13598" width="44" style="805" customWidth="1"/>
    <col min="13599" max="13601" width="47.33203125" style="805" customWidth="1"/>
    <col min="13602" max="13602" width="43.6640625" style="805" customWidth="1"/>
    <col min="13603" max="13605" width="47.33203125" style="805" customWidth="1"/>
    <col min="13606" max="13606" width="43.6640625" style="805" customWidth="1"/>
    <col min="13607" max="13609" width="47.33203125" style="805" customWidth="1"/>
    <col min="13610" max="13610" width="43.6640625" style="805" customWidth="1"/>
    <col min="13611" max="13611" width="193.33203125" style="805" customWidth="1"/>
    <col min="13612" max="13627" width="56" style="805" customWidth="1"/>
    <col min="13628" max="13628" width="59" style="805" customWidth="1"/>
    <col min="13629" max="13629" width="46" style="805" customWidth="1"/>
    <col min="13630" max="13824" width="9.33203125" style="805"/>
    <col min="13825" max="13825" width="193.33203125" style="805" customWidth="1"/>
    <col min="13826" max="13826" width="47.1640625" style="805" customWidth="1"/>
    <col min="13827" max="13827" width="47.33203125" style="805" customWidth="1"/>
    <col min="13828" max="13828" width="47.1640625" style="805" customWidth="1"/>
    <col min="13829" max="13829" width="43.6640625" style="805" customWidth="1"/>
    <col min="13830" max="13831" width="47.33203125" style="805" customWidth="1"/>
    <col min="13832" max="13832" width="47.1640625" style="805" customWidth="1"/>
    <col min="13833" max="13833" width="43.6640625" style="805" customWidth="1"/>
    <col min="13834" max="13835" width="47.33203125" style="805" customWidth="1"/>
    <col min="13836" max="13836" width="47.1640625" style="805" customWidth="1"/>
    <col min="13837" max="13837" width="43.6640625" style="805" customWidth="1"/>
    <col min="13838" max="13839" width="45" style="805" customWidth="1"/>
    <col min="13840" max="13840" width="44.83203125" style="805" customWidth="1"/>
    <col min="13841" max="13841" width="45" style="805" customWidth="1"/>
    <col min="13842" max="13843" width="47.33203125" style="805" customWidth="1"/>
    <col min="13844" max="13844" width="47.1640625" style="805" customWidth="1"/>
    <col min="13845" max="13845" width="43.6640625" style="805" customWidth="1"/>
    <col min="13846" max="13846" width="193.33203125" style="805" customWidth="1"/>
    <col min="13847" max="13849" width="47.33203125" style="805" customWidth="1"/>
    <col min="13850" max="13850" width="43.6640625" style="805" customWidth="1"/>
    <col min="13851" max="13853" width="47.33203125" style="805" customWidth="1"/>
    <col min="13854" max="13854" width="44" style="805" customWidth="1"/>
    <col min="13855" max="13857" width="47.33203125" style="805" customWidth="1"/>
    <col min="13858" max="13858" width="43.6640625" style="805" customWidth="1"/>
    <col min="13859" max="13861" width="47.33203125" style="805" customWidth="1"/>
    <col min="13862" max="13862" width="43.6640625" style="805" customWidth="1"/>
    <col min="13863" max="13865" width="47.33203125" style="805" customWidth="1"/>
    <col min="13866" max="13866" width="43.6640625" style="805" customWidth="1"/>
    <col min="13867" max="13867" width="193.33203125" style="805" customWidth="1"/>
    <col min="13868" max="13883" width="56" style="805" customWidth="1"/>
    <col min="13884" max="13884" width="59" style="805" customWidth="1"/>
    <col min="13885" max="13885" width="46" style="805" customWidth="1"/>
    <col min="13886" max="14080" width="9.33203125" style="805"/>
    <col min="14081" max="14081" width="193.33203125" style="805" customWidth="1"/>
    <col min="14082" max="14082" width="47.1640625" style="805" customWidth="1"/>
    <col min="14083" max="14083" width="47.33203125" style="805" customWidth="1"/>
    <col min="14084" max="14084" width="47.1640625" style="805" customWidth="1"/>
    <col min="14085" max="14085" width="43.6640625" style="805" customWidth="1"/>
    <col min="14086" max="14087" width="47.33203125" style="805" customWidth="1"/>
    <col min="14088" max="14088" width="47.1640625" style="805" customWidth="1"/>
    <col min="14089" max="14089" width="43.6640625" style="805" customWidth="1"/>
    <col min="14090" max="14091" width="47.33203125" style="805" customWidth="1"/>
    <col min="14092" max="14092" width="47.1640625" style="805" customWidth="1"/>
    <col min="14093" max="14093" width="43.6640625" style="805" customWidth="1"/>
    <col min="14094" max="14095" width="45" style="805" customWidth="1"/>
    <col min="14096" max="14096" width="44.83203125" style="805" customWidth="1"/>
    <col min="14097" max="14097" width="45" style="805" customWidth="1"/>
    <col min="14098" max="14099" width="47.33203125" style="805" customWidth="1"/>
    <col min="14100" max="14100" width="47.1640625" style="805" customWidth="1"/>
    <col min="14101" max="14101" width="43.6640625" style="805" customWidth="1"/>
    <col min="14102" max="14102" width="193.33203125" style="805" customWidth="1"/>
    <col min="14103" max="14105" width="47.33203125" style="805" customWidth="1"/>
    <col min="14106" max="14106" width="43.6640625" style="805" customWidth="1"/>
    <col min="14107" max="14109" width="47.33203125" style="805" customWidth="1"/>
    <col min="14110" max="14110" width="44" style="805" customWidth="1"/>
    <col min="14111" max="14113" width="47.33203125" style="805" customWidth="1"/>
    <col min="14114" max="14114" width="43.6640625" style="805" customWidth="1"/>
    <col min="14115" max="14117" width="47.33203125" style="805" customWidth="1"/>
    <col min="14118" max="14118" width="43.6640625" style="805" customWidth="1"/>
    <col min="14119" max="14121" width="47.33203125" style="805" customWidth="1"/>
    <col min="14122" max="14122" width="43.6640625" style="805" customWidth="1"/>
    <col min="14123" max="14123" width="193.33203125" style="805" customWidth="1"/>
    <col min="14124" max="14139" width="56" style="805" customWidth="1"/>
    <col min="14140" max="14140" width="59" style="805" customWidth="1"/>
    <col min="14141" max="14141" width="46" style="805" customWidth="1"/>
    <col min="14142" max="14336" width="9.33203125" style="805"/>
    <col min="14337" max="14337" width="193.33203125" style="805" customWidth="1"/>
    <col min="14338" max="14338" width="47.1640625" style="805" customWidth="1"/>
    <col min="14339" max="14339" width="47.33203125" style="805" customWidth="1"/>
    <col min="14340" max="14340" width="47.1640625" style="805" customWidth="1"/>
    <col min="14341" max="14341" width="43.6640625" style="805" customWidth="1"/>
    <col min="14342" max="14343" width="47.33203125" style="805" customWidth="1"/>
    <col min="14344" max="14344" width="47.1640625" style="805" customWidth="1"/>
    <col min="14345" max="14345" width="43.6640625" style="805" customWidth="1"/>
    <col min="14346" max="14347" width="47.33203125" style="805" customWidth="1"/>
    <col min="14348" max="14348" width="47.1640625" style="805" customWidth="1"/>
    <col min="14349" max="14349" width="43.6640625" style="805" customWidth="1"/>
    <col min="14350" max="14351" width="45" style="805" customWidth="1"/>
    <col min="14352" max="14352" width="44.83203125" style="805" customWidth="1"/>
    <col min="14353" max="14353" width="45" style="805" customWidth="1"/>
    <col min="14354" max="14355" width="47.33203125" style="805" customWidth="1"/>
    <col min="14356" max="14356" width="47.1640625" style="805" customWidth="1"/>
    <col min="14357" max="14357" width="43.6640625" style="805" customWidth="1"/>
    <col min="14358" max="14358" width="193.33203125" style="805" customWidth="1"/>
    <col min="14359" max="14361" width="47.33203125" style="805" customWidth="1"/>
    <col min="14362" max="14362" width="43.6640625" style="805" customWidth="1"/>
    <col min="14363" max="14365" width="47.33203125" style="805" customWidth="1"/>
    <col min="14366" max="14366" width="44" style="805" customWidth="1"/>
    <col min="14367" max="14369" width="47.33203125" style="805" customWidth="1"/>
    <col min="14370" max="14370" width="43.6640625" style="805" customWidth="1"/>
    <col min="14371" max="14373" width="47.33203125" style="805" customWidth="1"/>
    <col min="14374" max="14374" width="43.6640625" style="805" customWidth="1"/>
    <col min="14375" max="14377" width="47.33203125" style="805" customWidth="1"/>
    <col min="14378" max="14378" width="43.6640625" style="805" customWidth="1"/>
    <col min="14379" max="14379" width="193.33203125" style="805" customWidth="1"/>
    <col min="14380" max="14395" width="56" style="805" customWidth="1"/>
    <col min="14396" max="14396" width="59" style="805" customWidth="1"/>
    <col min="14397" max="14397" width="46" style="805" customWidth="1"/>
    <col min="14398" max="14592" width="9.33203125" style="805"/>
    <col min="14593" max="14593" width="193.33203125" style="805" customWidth="1"/>
    <col min="14594" max="14594" width="47.1640625" style="805" customWidth="1"/>
    <col min="14595" max="14595" width="47.33203125" style="805" customWidth="1"/>
    <col min="14596" max="14596" width="47.1640625" style="805" customWidth="1"/>
    <col min="14597" max="14597" width="43.6640625" style="805" customWidth="1"/>
    <col min="14598" max="14599" width="47.33203125" style="805" customWidth="1"/>
    <col min="14600" max="14600" width="47.1640625" style="805" customWidth="1"/>
    <col min="14601" max="14601" width="43.6640625" style="805" customWidth="1"/>
    <col min="14602" max="14603" width="47.33203125" style="805" customWidth="1"/>
    <col min="14604" max="14604" width="47.1640625" style="805" customWidth="1"/>
    <col min="14605" max="14605" width="43.6640625" style="805" customWidth="1"/>
    <col min="14606" max="14607" width="45" style="805" customWidth="1"/>
    <col min="14608" max="14608" width="44.83203125" style="805" customWidth="1"/>
    <col min="14609" max="14609" width="45" style="805" customWidth="1"/>
    <col min="14610" max="14611" width="47.33203125" style="805" customWidth="1"/>
    <col min="14612" max="14612" width="47.1640625" style="805" customWidth="1"/>
    <col min="14613" max="14613" width="43.6640625" style="805" customWidth="1"/>
    <col min="14614" max="14614" width="193.33203125" style="805" customWidth="1"/>
    <col min="14615" max="14617" width="47.33203125" style="805" customWidth="1"/>
    <col min="14618" max="14618" width="43.6640625" style="805" customWidth="1"/>
    <col min="14619" max="14621" width="47.33203125" style="805" customWidth="1"/>
    <col min="14622" max="14622" width="44" style="805" customWidth="1"/>
    <col min="14623" max="14625" width="47.33203125" style="805" customWidth="1"/>
    <col min="14626" max="14626" width="43.6640625" style="805" customWidth="1"/>
    <col min="14627" max="14629" width="47.33203125" style="805" customWidth="1"/>
    <col min="14630" max="14630" width="43.6640625" style="805" customWidth="1"/>
    <col min="14631" max="14633" width="47.33203125" style="805" customWidth="1"/>
    <col min="14634" max="14634" width="43.6640625" style="805" customWidth="1"/>
    <col min="14635" max="14635" width="193.33203125" style="805" customWidth="1"/>
    <col min="14636" max="14651" width="56" style="805" customWidth="1"/>
    <col min="14652" max="14652" width="59" style="805" customWidth="1"/>
    <col min="14653" max="14653" width="46" style="805" customWidth="1"/>
    <col min="14654" max="14848" width="9.33203125" style="805"/>
    <col min="14849" max="14849" width="193.33203125" style="805" customWidth="1"/>
    <col min="14850" max="14850" width="47.1640625" style="805" customWidth="1"/>
    <col min="14851" max="14851" width="47.33203125" style="805" customWidth="1"/>
    <col min="14852" max="14852" width="47.1640625" style="805" customWidth="1"/>
    <col min="14853" max="14853" width="43.6640625" style="805" customWidth="1"/>
    <col min="14854" max="14855" width="47.33203125" style="805" customWidth="1"/>
    <col min="14856" max="14856" width="47.1640625" style="805" customWidth="1"/>
    <col min="14857" max="14857" width="43.6640625" style="805" customWidth="1"/>
    <col min="14858" max="14859" width="47.33203125" style="805" customWidth="1"/>
    <col min="14860" max="14860" width="47.1640625" style="805" customWidth="1"/>
    <col min="14861" max="14861" width="43.6640625" style="805" customWidth="1"/>
    <col min="14862" max="14863" width="45" style="805" customWidth="1"/>
    <col min="14864" max="14864" width="44.83203125" style="805" customWidth="1"/>
    <col min="14865" max="14865" width="45" style="805" customWidth="1"/>
    <col min="14866" max="14867" width="47.33203125" style="805" customWidth="1"/>
    <col min="14868" max="14868" width="47.1640625" style="805" customWidth="1"/>
    <col min="14869" max="14869" width="43.6640625" style="805" customWidth="1"/>
    <col min="14870" max="14870" width="193.33203125" style="805" customWidth="1"/>
    <col min="14871" max="14873" width="47.33203125" style="805" customWidth="1"/>
    <col min="14874" max="14874" width="43.6640625" style="805" customWidth="1"/>
    <col min="14875" max="14877" width="47.33203125" style="805" customWidth="1"/>
    <col min="14878" max="14878" width="44" style="805" customWidth="1"/>
    <col min="14879" max="14881" width="47.33203125" style="805" customWidth="1"/>
    <col min="14882" max="14882" width="43.6640625" style="805" customWidth="1"/>
    <col min="14883" max="14885" width="47.33203125" style="805" customWidth="1"/>
    <col min="14886" max="14886" width="43.6640625" style="805" customWidth="1"/>
    <col min="14887" max="14889" width="47.33203125" style="805" customWidth="1"/>
    <col min="14890" max="14890" width="43.6640625" style="805" customWidth="1"/>
    <col min="14891" max="14891" width="193.33203125" style="805" customWidth="1"/>
    <col min="14892" max="14907" width="56" style="805" customWidth="1"/>
    <col min="14908" max="14908" width="59" style="805" customWidth="1"/>
    <col min="14909" max="14909" width="46" style="805" customWidth="1"/>
    <col min="14910" max="15104" width="9.33203125" style="805"/>
    <col min="15105" max="15105" width="193.33203125" style="805" customWidth="1"/>
    <col min="15106" max="15106" width="47.1640625" style="805" customWidth="1"/>
    <col min="15107" max="15107" width="47.33203125" style="805" customWidth="1"/>
    <col min="15108" max="15108" width="47.1640625" style="805" customWidth="1"/>
    <col min="15109" max="15109" width="43.6640625" style="805" customWidth="1"/>
    <col min="15110" max="15111" width="47.33203125" style="805" customWidth="1"/>
    <col min="15112" max="15112" width="47.1640625" style="805" customWidth="1"/>
    <col min="15113" max="15113" width="43.6640625" style="805" customWidth="1"/>
    <col min="15114" max="15115" width="47.33203125" style="805" customWidth="1"/>
    <col min="15116" max="15116" width="47.1640625" style="805" customWidth="1"/>
    <col min="15117" max="15117" width="43.6640625" style="805" customWidth="1"/>
    <col min="15118" max="15119" width="45" style="805" customWidth="1"/>
    <col min="15120" max="15120" width="44.83203125" style="805" customWidth="1"/>
    <col min="15121" max="15121" width="45" style="805" customWidth="1"/>
    <col min="15122" max="15123" width="47.33203125" style="805" customWidth="1"/>
    <col min="15124" max="15124" width="47.1640625" style="805" customWidth="1"/>
    <col min="15125" max="15125" width="43.6640625" style="805" customWidth="1"/>
    <col min="15126" max="15126" width="193.33203125" style="805" customWidth="1"/>
    <col min="15127" max="15129" width="47.33203125" style="805" customWidth="1"/>
    <col min="15130" max="15130" width="43.6640625" style="805" customWidth="1"/>
    <col min="15131" max="15133" width="47.33203125" style="805" customWidth="1"/>
    <col min="15134" max="15134" width="44" style="805" customWidth="1"/>
    <col min="15135" max="15137" width="47.33203125" style="805" customWidth="1"/>
    <col min="15138" max="15138" width="43.6640625" style="805" customWidth="1"/>
    <col min="15139" max="15141" width="47.33203125" style="805" customWidth="1"/>
    <col min="15142" max="15142" width="43.6640625" style="805" customWidth="1"/>
    <col min="15143" max="15145" width="47.33203125" style="805" customWidth="1"/>
    <col min="15146" max="15146" width="43.6640625" style="805" customWidth="1"/>
    <col min="15147" max="15147" width="193.33203125" style="805" customWidth="1"/>
    <col min="15148" max="15163" width="56" style="805" customWidth="1"/>
    <col min="15164" max="15164" width="59" style="805" customWidth="1"/>
    <col min="15165" max="15165" width="46" style="805" customWidth="1"/>
    <col min="15166" max="15360" width="9.33203125" style="805"/>
    <col min="15361" max="15361" width="193.33203125" style="805" customWidth="1"/>
    <col min="15362" max="15362" width="47.1640625" style="805" customWidth="1"/>
    <col min="15363" max="15363" width="47.33203125" style="805" customWidth="1"/>
    <col min="15364" max="15364" width="47.1640625" style="805" customWidth="1"/>
    <col min="15365" max="15365" width="43.6640625" style="805" customWidth="1"/>
    <col min="15366" max="15367" width="47.33203125" style="805" customWidth="1"/>
    <col min="15368" max="15368" width="47.1640625" style="805" customWidth="1"/>
    <col min="15369" max="15369" width="43.6640625" style="805" customWidth="1"/>
    <col min="15370" max="15371" width="47.33203125" style="805" customWidth="1"/>
    <col min="15372" max="15372" width="47.1640625" style="805" customWidth="1"/>
    <col min="15373" max="15373" width="43.6640625" style="805" customWidth="1"/>
    <col min="15374" max="15375" width="45" style="805" customWidth="1"/>
    <col min="15376" max="15376" width="44.83203125" style="805" customWidth="1"/>
    <col min="15377" max="15377" width="45" style="805" customWidth="1"/>
    <col min="15378" max="15379" width="47.33203125" style="805" customWidth="1"/>
    <col min="15380" max="15380" width="47.1640625" style="805" customWidth="1"/>
    <col min="15381" max="15381" width="43.6640625" style="805" customWidth="1"/>
    <col min="15382" max="15382" width="193.33203125" style="805" customWidth="1"/>
    <col min="15383" max="15385" width="47.33203125" style="805" customWidth="1"/>
    <col min="15386" max="15386" width="43.6640625" style="805" customWidth="1"/>
    <col min="15387" max="15389" width="47.33203125" style="805" customWidth="1"/>
    <col min="15390" max="15390" width="44" style="805" customWidth="1"/>
    <col min="15391" max="15393" width="47.33203125" style="805" customWidth="1"/>
    <col min="15394" max="15394" width="43.6640625" style="805" customWidth="1"/>
    <col min="15395" max="15397" width="47.33203125" style="805" customWidth="1"/>
    <col min="15398" max="15398" width="43.6640625" style="805" customWidth="1"/>
    <col min="15399" max="15401" width="47.33203125" style="805" customWidth="1"/>
    <col min="15402" max="15402" width="43.6640625" style="805" customWidth="1"/>
    <col min="15403" max="15403" width="193.33203125" style="805" customWidth="1"/>
    <col min="15404" max="15419" width="56" style="805" customWidth="1"/>
    <col min="15420" max="15420" width="59" style="805" customWidth="1"/>
    <col min="15421" max="15421" width="46" style="805" customWidth="1"/>
    <col min="15422" max="15616" width="9.33203125" style="805"/>
    <col min="15617" max="15617" width="193.33203125" style="805" customWidth="1"/>
    <col min="15618" max="15618" width="47.1640625" style="805" customWidth="1"/>
    <col min="15619" max="15619" width="47.33203125" style="805" customWidth="1"/>
    <col min="15620" max="15620" width="47.1640625" style="805" customWidth="1"/>
    <col min="15621" max="15621" width="43.6640625" style="805" customWidth="1"/>
    <col min="15622" max="15623" width="47.33203125" style="805" customWidth="1"/>
    <col min="15624" max="15624" width="47.1640625" style="805" customWidth="1"/>
    <col min="15625" max="15625" width="43.6640625" style="805" customWidth="1"/>
    <col min="15626" max="15627" width="47.33203125" style="805" customWidth="1"/>
    <col min="15628" max="15628" width="47.1640625" style="805" customWidth="1"/>
    <col min="15629" max="15629" width="43.6640625" style="805" customWidth="1"/>
    <col min="15630" max="15631" width="45" style="805" customWidth="1"/>
    <col min="15632" max="15632" width="44.83203125" style="805" customWidth="1"/>
    <col min="15633" max="15633" width="45" style="805" customWidth="1"/>
    <col min="15634" max="15635" width="47.33203125" style="805" customWidth="1"/>
    <col min="15636" max="15636" width="47.1640625" style="805" customWidth="1"/>
    <col min="15637" max="15637" width="43.6640625" style="805" customWidth="1"/>
    <col min="15638" max="15638" width="193.33203125" style="805" customWidth="1"/>
    <col min="15639" max="15641" width="47.33203125" style="805" customWidth="1"/>
    <col min="15642" max="15642" width="43.6640625" style="805" customWidth="1"/>
    <col min="15643" max="15645" width="47.33203125" style="805" customWidth="1"/>
    <col min="15646" max="15646" width="44" style="805" customWidth="1"/>
    <col min="15647" max="15649" width="47.33203125" style="805" customWidth="1"/>
    <col min="15650" max="15650" width="43.6640625" style="805" customWidth="1"/>
    <col min="15651" max="15653" width="47.33203125" style="805" customWidth="1"/>
    <col min="15654" max="15654" width="43.6640625" style="805" customWidth="1"/>
    <col min="15655" max="15657" width="47.33203125" style="805" customWidth="1"/>
    <col min="15658" max="15658" width="43.6640625" style="805" customWidth="1"/>
    <col min="15659" max="15659" width="193.33203125" style="805" customWidth="1"/>
    <col min="15660" max="15675" width="56" style="805" customWidth="1"/>
    <col min="15676" max="15676" width="59" style="805" customWidth="1"/>
    <col min="15677" max="15677" width="46" style="805" customWidth="1"/>
    <col min="15678" max="15872" width="9.33203125" style="805"/>
    <col min="15873" max="15873" width="193.33203125" style="805" customWidth="1"/>
    <col min="15874" max="15874" width="47.1640625" style="805" customWidth="1"/>
    <col min="15875" max="15875" width="47.33203125" style="805" customWidth="1"/>
    <col min="15876" max="15876" width="47.1640625" style="805" customWidth="1"/>
    <col min="15877" max="15877" width="43.6640625" style="805" customWidth="1"/>
    <col min="15878" max="15879" width="47.33203125" style="805" customWidth="1"/>
    <col min="15880" max="15880" width="47.1640625" style="805" customWidth="1"/>
    <col min="15881" max="15881" width="43.6640625" style="805" customWidth="1"/>
    <col min="15882" max="15883" width="47.33203125" style="805" customWidth="1"/>
    <col min="15884" max="15884" width="47.1640625" style="805" customWidth="1"/>
    <col min="15885" max="15885" width="43.6640625" style="805" customWidth="1"/>
    <col min="15886" max="15887" width="45" style="805" customWidth="1"/>
    <col min="15888" max="15888" width="44.83203125" style="805" customWidth="1"/>
    <col min="15889" max="15889" width="45" style="805" customWidth="1"/>
    <col min="15890" max="15891" width="47.33203125" style="805" customWidth="1"/>
    <col min="15892" max="15892" width="47.1640625" style="805" customWidth="1"/>
    <col min="15893" max="15893" width="43.6640625" style="805" customWidth="1"/>
    <col min="15894" max="15894" width="193.33203125" style="805" customWidth="1"/>
    <col min="15895" max="15897" width="47.33203125" style="805" customWidth="1"/>
    <col min="15898" max="15898" width="43.6640625" style="805" customWidth="1"/>
    <col min="15899" max="15901" width="47.33203125" style="805" customWidth="1"/>
    <col min="15902" max="15902" width="44" style="805" customWidth="1"/>
    <col min="15903" max="15905" width="47.33203125" style="805" customWidth="1"/>
    <col min="15906" max="15906" width="43.6640625" style="805" customWidth="1"/>
    <col min="15907" max="15909" width="47.33203125" style="805" customWidth="1"/>
    <col min="15910" max="15910" width="43.6640625" style="805" customWidth="1"/>
    <col min="15911" max="15913" width="47.33203125" style="805" customWidth="1"/>
    <col min="15914" max="15914" width="43.6640625" style="805" customWidth="1"/>
    <col min="15915" max="15915" width="193.33203125" style="805" customWidth="1"/>
    <col min="15916" max="15931" width="56" style="805" customWidth="1"/>
    <col min="15932" max="15932" width="59" style="805" customWidth="1"/>
    <col min="15933" max="15933" width="46" style="805" customWidth="1"/>
    <col min="15934" max="16128" width="9.33203125" style="805"/>
    <col min="16129" max="16129" width="193.33203125" style="805" customWidth="1"/>
    <col min="16130" max="16130" width="47.1640625" style="805" customWidth="1"/>
    <col min="16131" max="16131" width="47.33203125" style="805" customWidth="1"/>
    <col min="16132" max="16132" width="47.1640625" style="805" customWidth="1"/>
    <col min="16133" max="16133" width="43.6640625" style="805" customWidth="1"/>
    <col min="16134" max="16135" width="47.33203125" style="805" customWidth="1"/>
    <col min="16136" max="16136" width="47.1640625" style="805" customWidth="1"/>
    <col min="16137" max="16137" width="43.6640625" style="805" customWidth="1"/>
    <col min="16138" max="16139" width="47.33203125" style="805" customWidth="1"/>
    <col min="16140" max="16140" width="47.1640625" style="805" customWidth="1"/>
    <col min="16141" max="16141" width="43.6640625" style="805" customWidth="1"/>
    <col min="16142" max="16143" width="45" style="805" customWidth="1"/>
    <col min="16144" max="16144" width="44.83203125" style="805" customWidth="1"/>
    <col min="16145" max="16145" width="45" style="805" customWidth="1"/>
    <col min="16146" max="16147" width="47.33203125" style="805" customWidth="1"/>
    <col min="16148" max="16148" width="47.1640625" style="805" customWidth="1"/>
    <col min="16149" max="16149" width="43.6640625" style="805" customWidth="1"/>
    <col min="16150" max="16150" width="193.33203125" style="805" customWidth="1"/>
    <col min="16151" max="16153" width="47.33203125" style="805" customWidth="1"/>
    <col min="16154" max="16154" width="43.6640625" style="805" customWidth="1"/>
    <col min="16155" max="16157" width="47.33203125" style="805" customWidth="1"/>
    <col min="16158" max="16158" width="44" style="805" customWidth="1"/>
    <col min="16159" max="16161" width="47.33203125" style="805" customWidth="1"/>
    <col min="16162" max="16162" width="43.6640625" style="805" customWidth="1"/>
    <col min="16163" max="16165" width="47.33203125" style="805" customWidth="1"/>
    <col min="16166" max="16166" width="43.6640625" style="805" customWidth="1"/>
    <col min="16167" max="16169" width="47.33203125" style="805" customWidth="1"/>
    <col min="16170" max="16170" width="43.6640625" style="805" customWidth="1"/>
    <col min="16171" max="16171" width="193.33203125" style="805" customWidth="1"/>
    <col min="16172" max="16187" width="56" style="805" customWidth="1"/>
    <col min="16188" max="16188" width="59" style="805" customWidth="1"/>
    <col min="16189" max="16189" width="46" style="805" customWidth="1"/>
    <col min="16190" max="16384" width="9.33203125" style="805"/>
  </cols>
  <sheetData>
    <row r="1" spans="1:67" ht="51.75" customHeight="1" x14ac:dyDescent="0.7">
      <c r="A1" s="1568"/>
      <c r="B1" s="1569"/>
      <c r="C1" s="1569"/>
      <c r="D1" s="1569"/>
      <c r="E1" s="1569"/>
      <c r="F1" s="1569"/>
      <c r="G1" s="1569"/>
      <c r="H1" s="1569"/>
      <c r="I1" s="1569"/>
      <c r="J1" s="1569"/>
      <c r="K1" s="1569"/>
      <c r="L1" s="1569"/>
      <c r="M1" s="1569"/>
      <c r="N1" s="1569"/>
      <c r="O1" s="1569"/>
      <c r="P1" s="1569"/>
      <c r="Q1" s="1569"/>
      <c r="R1" s="1569"/>
      <c r="S1" s="1569"/>
      <c r="T1" s="1569"/>
      <c r="U1" s="1569"/>
      <c r="V1" s="1570"/>
      <c r="W1" s="1569"/>
      <c r="X1" s="1569"/>
      <c r="Y1" s="1569"/>
      <c r="Z1" s="1569"/>
      <c r="AA1" s="1569"/>
      <c r="AB1" s="1569"/>
      <c r="AC1" s="1569"/>
      <c r="AD1" s="1569"/>
      <c r="AE1" s="1569"/>
      <c r="AF1" s="1569"/>
      <c r="AG1" s="1569"/>
      <c r="AH1" s="1569"/>
      <c r="AI1" s="1569"/>
      <c r="AJ1" s="1569"/>
      <c r="AK1" s="1569"/>
      <c r="AL1" s="1569"/>
      <c r="AM1" s="1568"/>
      <c r="AN1" s="1568"/>
      <c r="AO1" s="1568"/>
      <c r="AP1" s="1568"/>
      <c r="AQ1" s="1570"/>
      <c r="AR1" s="1568"/>
      <c r="AS1" s="1568"/>
      <c r="AT1" s="1568"/>
      <c r="AU1" s="1568"/>
      <c r="AV1" s="1568"/>
      <c r="AW1" s="1568"/>
      <c r="AX1" s="1568"/>
      <c r="AY1" s="1568"/>
      <c r="AZ1" s="1568"/>
      <c r="BA1" s="1568"/>
      <c r="BB1" s="1571"/>
      <c r="BC1" s="1571"/>
      <c r="BD1" s="1571"/>
      <c r="BE1" s="1571"/>
      <c r="BF1" s="1569"/>
      <c r="BG1" s="1569"/>
      <c r="BH1" s="1568"/>
      <c r="BI1" s="1568"/>
      <c r="BJ1" s="804"/>
      <c r="BK1" s="804"/>
      <c r="BL1" s="804"/>
      <c r="BM1" s="804"/>
      <c r="BN1" s="804"/>
      <c r="BO1" s="804"/>
    </row>
    <row r="2" spans="1:67" ht="51.75" customHeight="1" x14ac:dyDescent="0.7">
      <c r="A2" s="1568"/>
      <c r="B2" s="1569"/>
      <c r="C2" s="1569"/>
      <c r="D2" s="1569"/>
      <c r="E2" s="1569"/>
      <c r="F2" s="1569"/>
      <c r="G2" s="1569"/>
      <c r="H2" s="1569"/>
      <c r="I2" s="1569"/>
      <c r="J2" s="1569"/>
      <c r="K2" s="1569"/>
      <c r="L2" s="1569"/>
      <c r="M2" s="1569"/>
      <c r="N2" s="1569"/>
      <c r="O2" s="1569"/>
      <c r="P2" s="1569"/>
      <c r="Q2" s="1569"/>
      <c r="R2" s="1569"/>
      <c r="S2" s="1569"/>
      <c r="T2" s="1569"/>
      <c r="U2" s="1569"/>
      <c r="V2" s="1570"/>
      <c r="W2" s="1569"/>
      <c r="X2" s="1569"/>
      <c r="Y2" s="1569"/>
      <c r="Z2" s="1569"/>
      <c r="AA2" s="1569"/>
      <c r="AB2" s="1569"/>
      <c r="AC2" s="1569"/>
      <c r="AD2" s="1569"/>
      <c r="AE2" s="1569"/>
      <c r="AF2" s="1569"/>
      <c r="AG2" s="1569"/>
      <c r="AH2" s="1569"/>
      <c r="AI2" s="1569"/>
      <c r="AJ2" s="1569"/>
      <c r="AK2" s="1569"/>
      <c r="AL2" s="1569"/>
      <c r="AM2" s="1568"/>
      <c r="AN2" s="1568"/>
      <c r="AO2" s="1568"/>
      <c r="AP2" s="1568"/>
      <c r="AQ2" s="1570"/>
      <c r="AR2" s="1568"/>
      <c r="AS2" s="1568"/>
      <c r="AT2" s="1568"/>
      <c r="AU2" s="1568"/>
      <c r="AV2" s="1568"/>
      <c r="AW2" s="1568"/>
      <c r="AX2" s="1568"/>
      <c r="AY2" s="1568"/>
      <c r="AZ2" s="1568"/>
      <c r="BA2" s="1568"/>
      <c r="BB2" s="1571"/>
      <c r="BC2" s="1571"/>
      <c r="BD2" s="1571"/>
      <c r="BE2" s="1571"/>
      <c r="BF2" s="1569"/>
      <c r="BG2" s="1569"/>
      <c r="BH2" s="1568"/>
      <c r="BI2" s="1568"/>
      <c r="BJ2" s="804"/>
      <c r="BK2" s="804"/>
      <c r="BL2" s="804"/>
      <c r="BM2" s="804"/>
      <c r="BN2" s="804"/>
      <c r="BO2" s="804"/>
    </row>
    <row r="3" spans="1:67" s="806" customFormat="1" ht="54" customHeight="1" x14ac:dyDescent="0.85">
      <c r="A3" s="2014" t="s">
        <v>666</v>
      </c>
      <c r="B3" s="2014"/>
      <c r="C3" s="2014"/>
      <c r="D3" s="2014"/>
      <c r="E3" s="2014"/>
      <c r="F3" s="2014"/>
      <c r="G3" s="2014"/>
      <c r="H3" s="2014"/>
      <c r="I3" s="2014"/>
      <c r="J3" s="2014"/>
      <c r="K3" s="2014"/>
      <c r="L3" s="2014"/>
      <c r="M3" s="2014"/>
      <c r="N3" s="2014"/>
      <c r="O3" s="2014"/>
      <c r="P3" s="2014"/>
      <c r="Q3" s="2014"/>
      <c r="R3" s="2014"/>
      <c r="S3" s="2014"/>
      <c r="T3" s="2014"/>
      <c r="U3" s="2014"/>
      <c r="V3" s="2015" t="s">
        <v>666</v>
      </c>
      <c r="W3" s="2015"/>
      <c r="X3" s="2015"/>
      <c r="Y3" s="2015"/>
      <c r="Z3" s="2015"/>
      <c r="AA3" s="2015"/>
      <c r="AB3" s="2015"/>
      <c r="AC3" s="2015"/>
      <c r="AD3" s="2015"/>
      <c r="AE3" s="2015"/>
      <c r="AF3" s="2015"/>
      <c r="AG3" s="2015"/>
      <c r="AH3" s="2015"/>
      <c r="AI3" s="2015"/>
      <c r="AJ3" s="2015"/>
      <c r="AK3" s="2015"/>
      <c r="AL3" s="2015"/>
      <c r="AM3" s="2015"/>
      <c r="AN3" s="2015"/>
      <c r="AO3" s="2015"/>
      <c r="AP3" s="2015"/>
      <c r="AQ3" s="2015" t="s">
        <v>666</v>
      </c>
      <c r="AR3" s="2015"/>
      <c r="AS3" s="2015"/>
      <c r="AT3" s="2015"/>
      <c r="AU3" s="2015"/>
      <c r="AV3" s="2015"/>
      <c r="AW3" s="2015"/>
      <c r="AX3" s="2015"/>
      <c r="AY3" s="2015"/>
      <c r="AZ3" s="2015"/>
      <c r="BA3" s="2015"/>
      <c r="BB3" s="2015"/>
      <c r="BC3" s="2015"/>
      <c r="BD3" s="2015"/>
      <c r="BE3" s="2015"/>
      <c r="BF3" s="2015"/>
      <c r="BG3" s="2015"/>
      <c r="BH3" s="2016"/>
      <c r="BI3" s="2016"/>
      <c r="BJ3" s="2016"/>
      <c r="BK3" s="2016"/>
      <c r="BL3" s="2016"/>
      <c r="BM3" s="2016"/>
      <c r="BN3" s="2016"/>
      <c r="BO3" s="2016"/>
    </row>
    <row r="4" spans="1:67" s="806" customFormat="1" ht="54" customHeight="1" x14ac:dyDescent="0.85">
      <c r="A4" s="2017" t="s">
        <v>1199</v>
      </c>
      <c r="B4" s="2017"/>
      <c r="C4" s="2017"/>
      <c r="D4" s="2017"/>
      <c r="E4" s="2017"/>
      <c r="F4" s="2017"/>
      <c r="G4" s="2017"/>
      <c r="H4" s="2017"/>
      <c r="I4" s="2017"/>
      <c r="J4" s="2017"/>
      <c r="K4" s="2017"/>
      <c r="L4" s="2017"/>
      <c r="M4" s="2017"/>
      <c r="N4" s="2017"/>
      <c r="O4" s="2017"/>
      <c r="P4" s="2017"/>
      <c r="Q4" s="2017"/>
      <c r="R4" s="2017"/>
      <c r="S4" s="2017"/>
      <c r="T4" s="2017"/>
      <c r="U4" s="2017"/>
      <c r="V4" s="2015" t="s">
        <v>1199</v>
      </c>
      <c r="W4" s="2015"/>
      <c r="X4" s="2015"/>
      <c r="Y4" s="2015"/>
      <c r="Z4" s="2015"/>
      <c r="AA4" s="2015"/>
      <c r="AB4" s="2015"/>
      <c r="AC4" s="2015"/>
      <c r="AD4" s="2015"/>
      <c r="AE4" s="2015"/>
      <c r="AF4" s="2015"/>
      <c r="AG4" s="2015"/>
      <c r="AH4" s="2015"/>
      <c r="AI4" s="2015"/>
      <c r="AJ4" s="2015"/>
      <c r="AK4" s="2015"/>
      <c r="AL4" s="2015"/>
      <c r="AM4" s="2015"/>
      <c r="AN4" s="2015"/>
      <c r="AO4" s="2015"/>
      <c r="AP4" s="2015"/>
      <c r="AQ4" s="2015" t="s">
        <v>1199</v>
      </c>
      <c r="AR4" s="2015"/>
      <c r="AS4" s="2015"/>
      <c r="AT4" s="2015"/>
      <c r="AU4" s="2015"/>
      <c r="AV4" s="2015"/>
      <c r="AW4" s="2015"/>
      <c r="AX4" s="2015"/>
      <c r="AY4" s="2015"/>
      <c r="AZ4" s="2015"/>
      <c r="BA4" s="2015"/>
      <c r="BB4" s="2015"/>
      <c r="BC4" s="2015"/>
      <c r="BD4" s="2015"/>
      <c r="BE4" s="2015"/>
      <c r="BF4" s="2015"/>
      <c r="BG4" s="2015"/>
      <c r="BH4" s="2016"/>
      <c r="BI4" s="2016"/>
      <c r="BJ4" s="2016"/>
      <c r="BK4" s="2016"/>
      <c r="BL4" s="2016"/>
      <c r="BM4" s="2016"/>
      <c r="BN4" s="2016"/>
      <c r="BO4" s="2016"/>
    </row>
    <row r="5" spans="1:67" ht="62.25" customHeight="1" thickBot="1" x14ac:dyDescent="0.75">
      <c r="A5" s="1568"/>
      <c r="B5" s="1569"/>
      <c r="C5" s="1569"/>
      <c r="D5" s="1569"/>
      <c r="E5" s="1569"/>
      <c r="F5" s="1569"/>
      <c r="G5" s="1569"/>
      <c r="H5" s="1569"/>
      <c r="I5" s="1569"/>
      <c r="J5" s="1569"/>
      <c r="K5" s="1569"/>
      <c r="L5" s="1569"/>
      <c r="M5" s="1569"/>
      <c r="N5" s="1569"/>
      <c r="O5" s="1569"/>
      <c r="P5" s="1569"/>
      <c r="Q5" s="1569"/>
      <c r="R5" s="1569"/>
      <c r="S5" s="1569"/>
      <c r="T5" s="1569"/>
      <c r="U5" s="1569"/>
      <c r="V5" s="1570"/>
      <c r="W5" s="1569"/>
      <c r="X5" s="1569"/>
      <c r="Y5" s="1569"/>
      <c r="Z5" s="1569"/>
      <c r="AA5" s="1569"/>
      <c r="AB5" s="1569"/>
      <c r="AC5" s="1569"/>
      <c r="AD5" s="1569"/>
      <c r="AE5" s="1569"/>
      <c r="AF5" s="1569"/>
      <c r="AG5" s="1569"/>
      <c r="AH5" s="1569"/>
      <c r="AI5" s="1569"/>
      <c r="AJ5" s="1569"/>
      <c r="AK5" s="1569"/>
      <c r="AL5" s="1569"/>
      <c r="AM5" s="1568"/>
      <c r="AN5" s="1568"/>
      <c r="AO5" s="1568"/>
      <c r="AP5" s="1568"/>
      <c r="AQ5" s="1570"/>
      <c r="AR5" s="1568"/>
      <c r="AS5" s="1568"/>
      <c r="AT5" s="1568"/>
      <c r="AU5" s="1568"/>
      <c r="AV5" s="1568"/>
      <c r="AW5" s="1568"/>
      <c r="AX5" s="1568"/>
      <c r="AY5" s="1568"/>
      <c r="AZ5" s="1568"/>
      <c r="BA5" s="1568"/>
      <c r="BB5" s="1571"/>
      <c r="BC5" s="1571"/>
      <c r="BD5" s="1571"/>
      <c r="BE5" s="1571"/>
      <c r="BF5" s="1569"/>
      <c r="BG5" s="1569"/>
      <c r="BH5" s="1568"/>
      <c r="BI5" s="1568"/>
      <c r="BJ5" s="804"/>
      <c r="BK5" s="804"/>
      <c r="BL5" s="804"/>
      <c r="BM5" s="804"/>
      <c r="BN5" s="804"/>
      <c r="BO5" s="804"/>
    </row>
    <row r="6" spans="1:67" s="808" customFormat="1" ht="54.75" customHeight="1" thickBot="1" x14ac:dyDescent="0.7">
      <c r="A6" s="1572"/>
      <c r="B6" s="2008" t="s">
        <v>1200</v>
      </c>
      <c r="C6" s="2009"/>
      <c r="D6" s="2009"/>
      <c r="E6" s="2010"/>
      <c r="F6" s="2018" t="s">
        <v>1131</v>
      </c>
      <c r="G6" s="2019"/>
      <c r="H6" s="2019"/>
      <c r="I6" s="2020"/>
      <c r="J6" s="2008" t="s">
        <v>1201</v>
      </c>
      <c r="K6" s="2009"/>
      <c r="L6" s="2009"/>
      <c r="M6" s="2010"/>
      <c r="N6" s="2008" t="s">
        <v>91</v>
      </c>
      <c r="O6" s="2009"/>
      <c r="P6" s="2009"/>
      <c r="Q6" s="2010"/>
      <c r="R6" s="2018" t="s">
        <v>1146</v>
      </c>
      <c r="S6" s="2019"/>
      <c r="T6" s="2019"/>
      <c r="U6" s="2020"/>
      <c r="V6" s="1572"/>
      <c r="W6" s="2008" t="s">
        <v>174</v>
      </c>
      <c r="X6" s="2009"/>
      <c r="Y6" s="2009"/>
      <c r="Z6" s="2010"/>
      <c r="AA6" s="2018" t="s">
        <v>169</v>
      </c>
      <c r="AB6" s="2019"/>
      <c r="AC6" s="2019"/>
      <c r="AD6" s="2020"/>
      <c r="AE6" s="2008" t="s">
        <v>1155</v>
      </c>
      <c r="AF6" s="2009"/>
      <c r="AG6" s="2009"/>
      <c r="AH6" s="2010"/>
      <c r="AI6" s="2018" t="s">
        <v>1158</v>
      </c>
      <c r="AJ6" s="2019"/>
      <c r="AK6" s="2019"/>
      <c r="AL6" s="2020"/>
      <c r="AM6" s="2027" t="s">
        <v>1202</v>
      </c>
      <c r="AN6" s="2028"/>
      <c r="AO6" s="2028"/>
      <c r="AP6" s="2029"/>
      <c r="AQ6" s="1572"/>
      <c r="AR6" s="2024" t="s">
        <v>1203</v>
      </c>
      <c r="AS6" s="2025"/>
      <c r="AT6" s="2025"/>
      <c r="AU6" s="2025"/>
      <c r="AV6" s="2025"/>
      <c r="AW6" s="2025"/>
      <c r="AX6" s="2025"/>
      <c r="AY6" s="2026"/>
      <c r="AZ6" s="2018" t="s">
        <v>1204</v>
      </c>
      <c r="BA6" s="2019"/>
      <c r="BB6" s="2019"/>
      <c r="BC6" s="2020"/>
      <c r="BD6" s="2008" t="s">
        <v>1205</v>
      </c>
      <c r="BE6" s="2009"/>
      <c r="BF6" s="2009"/>
      <c r="BG6" s="2010"/>
      <c r="BH6" s="1573"/>
      <c r="BI6" s="1573"/>
      <c r="BJ6" s="807"/>
      <c r="BK6" s="807"/>
      <c r="BL6" s="807"/>
      <c r="BM6" s="807"/>
      <c r="BN6" s="807"/>
      <c r="BO6" s="807"/>
    </row>
    <row r="7" spans="1:67" s="811" customFormat="1" ht="54.75" customHeight="1" thickBot="1" x14ac:dyDescent="0.7">
      <c r="A7" s="1574" t="s">
        <v>1206</v>
      </c>
      <c r="B7" s="2011"/>
      <c r="C7" s="2012"/>
      <c r="D7" s="2012"/>
      <c r="E7" s="2013"/>
      <c r="F7" s="2021"/>
      <c r="G7" s="2022"/>
      <c r="H7" s="2022"/>
      <c r="I7" s="2023"/>
      <c r="J7" s="2011"/>
      <c r="K7" s="2012"/>
      <c r="L7" s="2012"/>
      <c r="M7" s="2013"/>
      <c r="N7" s="2011"/>
      <c r="O7" s="2012"/>
      <c r="P7" s="2012"/>
      <c r="Q7" s="2013"/>
      <c r="R7" s="2021"/>
      <c r="S7" s="2022"/>
      <c r="T7" s="2022"/>
      <c r="U7" s="2023"/>
      <c r="V7" s="1574" t="s">
        <v>1206</v>
      </c>
      <c r="W7" s="2011"/>
      <c r="X7" s="2012"/>
      <c r="Y7" s="2012"/>
      <c r="Z7" s="2013"/>
      <c r="AA7" s="2021"/>
      <c r="AB7" s="2022"/>
      <c r="AC7" s="2022"/>
      <c r="AD7" s="2023"/>
      <c r="AE7" s="2011"/>
      <c r="AF7" s="2012"/>
      <c r="AG7" s="2012"/>
      <c r="AH7" s="2013"/>
      <c r="AI7" s="2021"/>
      <c r="AJ7" s="2022"/>
      <c r="AK7" s="2022"/>
      <c r="AL7" s="2023"/>
      <c r="AM7" s="2030"/>
      <c r="AN7" s="2031"/>
      <c r="AO7" s="2031"/>
      <c r="AP7" s="2032"/>
      <c r="AQ7" s="1574" t="s">
        <v>1206</v>
      </c>
      <c r="AR7" s="2024" t="s">
        <v>1207</v>
      </c>
      <c r="AS7" s="2025"/>
      <c r="AT7" s="2025"/>
      <c r="AU7" s="2026"/>
      <c r="AV7" s="2024" t="s">
        <v>1208</v>
      </c>
      <c r="AW7" s="2025"/>
      <c r="AX7" s="2025"/>
      <c r="AY7" s="2026"/>
      <c r="AZ7" s="2021"/>
      <c r="BA7" s="2022"/>
      <c r="BB7" s="2022"/>
      <c r="BC7" s="2023"/>
      <c r="BD7" s="2011"/>
      <c r="BE7" s="2012"/>
      <c r="BF7" s="2012"/>
      <c r="BG7" s="2013"/>
      <c r="BH7" s="1575"/>
      <c r="BI7" s="1575"/>
      <c r="BJ7" s="810"/>
      <c r="BK7" s="810"/>
      <c r="BL7" s="810"/>
      <c r="BM7" s="810"/>
      <c r="BN7" s="810"/>
      <c r="BO7" s="810"/>
    </row>
    <row r="8" spans="1:67" s="821" customFormat="1" ht="141.75" customHeight="1" thickBot="1" x14ac:dyDescent="0.65">
      <c r="A8" s="1576">
        <v>2022</v>
      </c>
      <c r="B8" s="1577" t="s">
        <v>1209</v>
      </c>
      <c r="C8" s="1577" t="s">
        <v>1210</v>
      </c>
      <c r="D8" s="1577" t="s">
        <v>100</v>
      </c>
      <c r="E8" s="1577" t="s">
        <v>1211</v>
      </c>
      <c r="F8" s="1577" t="s">
        <v>1209</v>
      </c>
      <c r="G8" s="1577" t="s">
        <v>1210</v>
      </c>
      <c r="H8" s="1577" t="s">
        <v>100</v>
      </c>
      <c r="I8" s="1577" t="s">
        <v>1211</v>
      </c>
      <c r="J8" s="1577" t="s">
        <v>1209</v>
      </c>
      <c r="K8" s="1577" t="s">
        <v>1210</v>
      </c>
      <c r="L8" s="1577" t="s">
        <v>100</v>
      </c>
      <c r="M8" s="1577" t="s">
        <v>1211</v>
      </c>
      <c r="N8" s="1577" t="s">
        <v>1209</v>
      </c>
      <c r="O8" s="1577" t="s">
        <v>1210</v>
      </c>
      <c r="P8" s="1577" t="s">
        <v>100</v>
      </c>
      <c r="Q8" s="1577" t="s">
        <v>1211</v>
      </c>
      <c r="R8" s="1577" t="s">
        <v>1209</v>
      </c>
      <c r="S8" s="1577" t="s">
        <v>1210</v>
      </c>
      <c r="T8" s="1577" t="s">
        <v>100</v>
      </c>
      <c r="U8" s="1577" t="s">
        <v>1211</v>
      </c>
      <c r="V8" s="1578">
        <v>2022</v>
      </c>
      <c r="W8" s="1577" t="s">
        <v>1209</v>
      </c>
      <c r="X8" s="1577" t="s">
        <v>1210</v>
      </c>
      <c r="Y8" s="1577" t="s">
        <v>100</v>
      </c>
      <c r="Z8" s="1577" t="s">
        <v>1211</v>
      </c>
      <c r="AA8" s="1577" t="s">
        <v>1209</v>
      </c>
      <c r="AB8" s="1577" t="s">
        <v>1210</v>
      </c>
      <c r="AC8" s="1577" t="s">
        <v>100</v>
      </c>
      <c r="AD8" s="1577" t="s">
        <v>1211</v>
      </c>
      <c r="AE8" s="1577" t="s">
        <v>1209</v>
      </c>
      <c r="AF8" s="1577" t="s">
        <v>1210</v>
      </c>
      <c r="AG8" s="1577" t="s">
        <v>100</v>
      </c>
      <c r="AH8" s="1577" t="s">
        <v>1211</v>
      </c>
      <c r="AI8" s="1577" t="s">
        <v>1209</v>
      </c>
      <c r="AJ8" s="1577" t="s">
        <v>1210</v>
      </c>
      <c r="AK8" s="1577" t="s">
        <v>100</v>
      </c>
      <c r="AL8" s="1577" t="s">
        <v>1211</v>
      </c>
      <c r="AM8" s="1577" t="s">
        <v>1209</v>
      </c>
      <c r="AN8" s="1577" t="s">
        <v>1210</v>
      </c>
      <c r="AO8" s="1577" t="s">
        <v>100</v>
      </c>
      <c r="AP8" s="1577" t="s">
        <v>1211</v>
      </c>
      <c r="AQ8" s="1578">
        <v>2022</v>
      </c>
      <c r="AR8" s="1577" t="s">
        <v>1209</v>
      </c>
      <c r="AS8" s="1577" t="s">
        <v>1210</v>
      </c>
      <c r="AT8" s="1577" t="s">
        <v>100</v>
      </c>
      <c r="AU8" s="1577" t="s">
        <v>1211</v>
      </c>
      <c r="AV8" s="1577" t="s">
        <v>1209</v>
      </c>
      <c r="AW8" s="1577" t="s">
        <v>1210</v>
      </c>
      <c r="AX8" s="1577" t="s">
        <v>100</v>
      </c>
      <c r="AY8" s="1577" t="s">
        <v>1211</v>
      </c>
      <c r="AZ8" s="1577" t="s">
        <v>1209</v>
      </c>
      <c r="BA8" s="1577" t="s">
        <v>1210</v>
      </c>
      <c r="BB8" s="1577" t="s">
        <v>100</v>
      </c>
      <c r="BC8" s="1577" t="s">
        <v>1211</v>
      </c>
      <c r="BD8" s="1577" t="s">
        <v>1209</v>
      </c>
      <c r="BE8" s="1577" t="s">
        <v>1210</v>
      </c>
      <c r="BF8" s="1577" t="s">
        <v>100</v>
      </c>
      <c r="BG8" s="1577" t="s">
        <v>1211</v>
      </c>
      <c r="BH8" s="1579"/>
      <c r="BI8" s="1579"/>
      <c r="BJ8" s="820"/>
      <c r="BK8" s="820"/>
      <c r="BL8" s="820"/>
      <c r="BM8" s="820"/>
      <c r="BN8" s="820"/>
      <c r="BO8" s="820"/>
    </row>
    <row r="9" spans="1:67" s="815" customFormat="1" ht="45.75" customHeight="1" x14ac:dyDescent="0.65">
      <c r="A9" s="1580" t="s">
        <v>1212</v>
      </c>
      <c r="B9" s="1581"/>
      <c r="C9" s="1581"/>
      <c r="D9" s="1581"/>
      <c r="E9" s="1581"/>
      <c r="F9" s="1581"/>
      <c r="G9" s="1581"/>
      <c r="H9" s="1581"/>
      <c r="I9" s="1581"/>
      <c r="J9" s="1581"/>
      <c r="K9" s="1581"/>
      <c r="L9" s="1581"/>
      <c r="M9" s="1581"/>
      <c r="N9" s="1581"/>
      <c r="O9" s="1581"/>
      <c r="P9" s="1581"/>
      <c r="Q9" s="1581"/>
      <c r="R9" s="1581"/>
      <c r="S9" s="1581"/>
      <c r="T9" s="1581"/>
      <c r="U9" s="1581"/>
      <c r="V9" s="1580" t="s">
        <v>1212</v>
      </c>
      <c r="W9" s="1581"/>
      <c r="X9" s="1581"/>
      <c r="Y9" s="1581"/>
      <c r="Z9" s="1581"/>
      <c r="AA9" s="1581"/>
      <c r="AB9" s="1581"/>
      <c r="AC9" s="1581"/>
      <c r="AD9" s="1581"/>
      <c r="AE9" s="1581"/>
      <c r="AF9" s="1581"/>
      <c r="AG9" s="1581"/>
      <c r="AH9" s="1581"/>
      <c r="AI9" s="1581"/>
      <c r="AJ9" s="1581"/>
      <c r="AK9" s="1581"/>
      <c r="AL9" s="1581"/>
      <c r="AM9" s="1580"/>
      <c r="AN9" s="1580"/>
      <c r="AO9" s="1580"/>
      <c r="AP9" s="1580"/>
      <c r="AQ9" s="1580" t="s">
        <v>1212</v>
      </c>
      <c r="AR9" s="1580"/>
      <c r="AS9" s="1580"/>
      <c r="AT9" s="1580"/>
      <c r="AU9" s="1580"/>
      <c r="AV9" s="1580"/>
      <c r="AW9" s="1580"/>
      <c r="AX9" s="1580"/>
      <c r="AY9" s="1580"/>
      <c r="AZ9" s="1580"/>
      <c r="BA9" s="1580"/>
      <c r="BB9" s="1582"/>
      <c r="BC9" s="1582"/>
      <c r="BD9" s="1582"/>
      <c r="BE9" s="1582"/>
      <c r="BF9" s="1581"/>
      <c r="BG9" s="1581"/>
      <c r="BH9" s="1583"/>
      <c r="BI9" s="1583"/>
      <c r="BJ9" s="814"/>
      <c r="BK9" s="814"/>
      <c r="BL9" s="814"/>
      <c r="BM9" s="814"/>
      <c r="BN9" s="814"/>
      <c r="BO9" s="814"/>
    </row>
    <row r="10" spans="1:67" ht="57" customHeight="1" x14ac:dyDescent="0.7">
      <c r="A10" s="1584" t="s">
        <v>1213</v>
      </c>
      <c r="B10" s="1585">
        <f>[4]int.bevételek2022!B9</f>
        <v>859</v>
      </c>
      <c r="C10" s="1585">
        <f>'[5]int.bevételek RM III'!D10</f>
        <v>2188</v>
      </c>
      <c r="D10" s="1585">
        <v>2188</v>
      </c>
      <c r="E10" s="1586">
        <f t="shared" ref="E10:E30" si="0">D10/C10</f>
        <v>1</v>
      </c>
      <c r="F10" s="1585">
        <f>[4]int.bevételek2022!C9</f>
        <v>0</v>
      </c>
      <c r="G10" s="1585">
        <f>'[5]int.bevételek RM III'!G10</f>
        <v>0</v>
      </c>
      <c r="H10" s="1585"/>
      <c r="I10" s="1586"/>
      <c r="J10" s="1585">
        <f>[4]int.bevételek2022!D9</f>
        <v>0</v>
      </c>
      <c r="K10" s="1585">
        <f>'[5]int.bevételek RM III'!J10</f>
        <v>0</v>
      </c>
      <c r="L10" s="1585"/>
      <c r="M10" s="1586"/>
      <c r="N10" s="1585">
        <f>[4]int.bevételek2022!E9</f>
        <v>0</v>
      </c>
      <c r="O10" s="1585">
        <f>'[5]int.bevételek RM III'!M10</f>
        <v>0</v>
      </c>
      <c r="P10" s="1585"/>
      <c r="Q10" s="1586"/>
      <c r="R10" s="1587">
        <f>B10+F10+J10+N10</f>
        <v>859</v>
      </c>
      <c r="S10" s="1587">
        <f>C10+G10+K10+O10</f>
        <v>2188</v>
      </c>
      <c r="T10" s="1587">
        <f>D10+H10+L10+P10</f>
        <v>2188</v>
      </c>
      <c r="U10" s="1588">
        <f t="shared" ref="U10:U30" si="1">T10/S10</f>
        <v>1</v>
      </c>
      <c r="V10" s="1584" t="s">
        <v>1213</v>
      </c>
      <c r="W10" s="1585">
        <f>[4]int.bevételek2022!H9</f>
        <v>0</v>
      </c>
      <c r="X10" s="1585">
        <f>'[5]int.bevételek RM III'!T10</f>
        <v>0</v>
      </c>
      <c r="Y10" s="1585"/>
      <c r="Z10" s="1586"/>
      <c r="AA10" s="1585">
        <f>[4]int.bevételek2022!I9</f>
        <v>0</v>
      </c>
      <c r="AB10" s="1585">
        <f>'[5]int.bevételek RM III'!W10</f>
        <v>0</v>
      </c>
      <c r="AC10" s="1585"/>
      <c r="AD10" s="1586"/>
      <c r="AE10" s="1585">
        <f>[4]int.bevételek2022!J9</f>
        <v>0</v>
      </c>
      <c r="AF10" s="1585">
        <f>'[5]int.bevételek RM III'!Z10</f>
        <v>0</v>
      </c>
      <c r="AG10" s="1585"/>
      <c r="AH10" s="1586"/>
      <c r="AI10" s="1587">
        <f t="shared" ref="AI10:AK27" si="2">W10+AA10+AE10</f>
        <v>0</v>
      </c>
      <c r="AJ10" s="1587">
        <f t="shared" si="2"/>
        <v>0</v>
      </c>
      <c r="AK10" s="1587">
        <f t="shared" si="2"/>
        <v>0</v>
      </c>
      <c r="AL10" s="1588"/>
      <c r="AM10" s="1585"/>
      <c r="AN10" s="1585">
        <f>'[5]int.bevételek RM III'!AJ10</f>
        <v>4014</v>
      </c>
      <c r="AO10" s="1585">
        <v>4014</v>
      </c>
      <c r="AP10" s="1586">
        <f t="shared" ref="AP10:AP30" si="3">AO10/AN10</f>
        <v>1</v>
      </c>
      <c r="AQ10" s="1584" t="s">
        <v>1213</v>
      </c>
      <c r="AR10" s="1585">
        <f>[4]int.bevételek2022!L9</f>
        <v>166833</v>
      </c>
      <c r="AS10" s="1585">
        <f>'[5]int.bevételek RM III'!AM10</f>
        <v>170357</v>
      </c>
      <c r="AT10" s="1585">
        <f>169033-4662</f>
        <v>164371</v>
      </c>
      <c r="AU10" s="1586">
        <f t="shared" ref="AU10:AU30" si="4">AT10/AS10</f>
        <v>0.9648620250415304</v>
      </c>
      <c r="AV10" s="1585">
        <f>[4]int.bevételek2022!M9</f>
        <v>0</v>
      </c>
      <c r="AW10" s="1585">
        <f>'[5]int.bevételek RM III'!AP10</f>
        <v>4662</v>
      </c>
      <c r="AX10" s="1585">
        <v>4662</v>
      </c>
      <c r="AY10" s="1586">
        <f t="shared" ref="AY10:AY26" si="5">AX10/AW10</f>
        <v>1</v>
      </c>
      <c r="AZ10" s="1587">
        <f t="shared" ref="AZ10:BB27" si="6">AR10+AV10</f>
        <v>166833</v>
      </c>
      <c r="BA10" s="1587">
        <f t="shared" si="6"/>
        <v>175019</v>
      </c>
      <c r="BB10" s="1587">
        <f t="shared" si="6"/>
        <v>169033</v>
      </c>
      <c r="BC10" s="1588">
        <f t="shared" ref="BC10:BC30" si="7">BB10/BA10</f>
        <v>0.96579799907438624</v>
      </c>
      <c r="BD10" s="1587">
        <f t="shared" ref="BD10:BF27" si="8">R10+AI10+AM10+AZ10</f>
        <v>167692</v>
      </c>
      <c r="BE10" s="1587">
        <f t="shared" si="8"/>
        <v>181221</v>
      </c>
      <c r="BF10" s="1587">
        <f t="shared" si="8"/>
        <v>175235</v>
      </c>
      <c r="BG10" s="1588">
        <f t="shared" ref="BG10:BG30" si="9">BF10/BE10</f>
        <v>0.96696850806473866</v>
      </c>
      <c r="BH10" s="1568"/>
      <c r="BI10" s="1568"/>
      <c r="BJ10" s="804"/>
      <c r="BK10" s="804"/>
      <c r="BL10" s="804"/>
      <c r="BM10" s="804"/>
      <c r="BN10" s="804"/>
      <c r="BO10" s="804"/>
    </row>
    <row r="11" spans="1:67" ht="57" customHeight="1" x14ac:dyDescent="0.7">
      <c r="A11" s="1584" t="s">
        <v>1214</v>
      </c>
      <c r="B11" s="1585">
        <f>[4]int.bevételek2022!B10</f>
        <v>962</v>
      </c>
      <c r="C11" s="1585">
        <f>'[5]int.bevételek RM III'!D11</f>
        <v>1354</v>
      </c>
      <c r="D11" s="1585">
        <v>1354</v>
      </c>
      <c r="E11" s="1586">
        <f t="shared" si="0"/>
        <v>1</v>
      </c>
      <c r="F11" s="1585">
        <f>[4]int.bevételek2022!C10</f>
        <v>0</v>
      </c>
      <c r="G11" s="1585">
        <f>'[5]int.bevételek RM III'!G11</f>
        <v>0</v>
      </c>
      <c r="H11" s="1585"/>
      <c r="I11" s="1586"/>
      <c r="J11" s="1585">
        <f>[4]int.bevételek2022!D10</f>
        <v>0</v>
      </c>
      <c r="K11" s="1585">
        <f>'[5]int.bevételek RM III'!J11</f>
        <v>0</v>
      </c>
      <c r="L11" s="1585"/>
      <c r="M11" s="1586"/>
      <c r="N11" s="1585">
        <f>[4]int.bevételek2022!E10</f>
        <v>0</v>
      </c>
      <c r="O11" s="1585">
        <f>'[5]int.bevételek RM III'!M11</f>
        <v>0</v>
      </c>
      <c r="P11" s="1585"/>
      <c r="Q11" s="1586"/>
      <c r="R11" s="1587">
        <f t="shared" ref="R11:T27" si="10">B11+F11+J11+N11</f>
        <v>962</v>
      </c>
      <c r="S11" s="1587">
        <f t="shared" si="10"/>
        <v>1354</v>
      </c>
      <c r="T11" s="1587">
        <f t="shared" si="10"/>
        <v>1354</v>
      </c>
      <c r="U11" s="1588">
        <f t="shared" si="1"/>
        <v>1</v>
      </c>
      <c r="V11" s="1584" t="s">
        <v>1214</v>
      </c>
      <c r="W11" s="1585">
        <f>[4]int.bevételek2022!H10</f>
        <v>0</v>
      </c>
      <c r="X11" s="1585">
        <f>'[5]int.bevételek RM III'!T11</f>
        <v>0</v>
      </c>
      <c r="Y11" s="1585"/>
      <c r="Z11" s="1586"/>
      <c r="AA11" s="1585">
        <f>[4]int.bevételek2022!I10</f>
        <v>0</v>
      </c>
      <c r="AB11" s="1585">
        <f>'[5]int.bevételek RM III'!W11</f>
        <v>0</v>
      </c>
      <c r="AC11" s="1585"/>
      <c r="AD11" s="1586"/>
      <c r="AE11" s="1585">
        <f>[4]int.bevételek2022!J10</f>
        <v>0</v>
      </c>
      <c r="AF11" s="1585">
        <f>'[5]int.bevételek RM III'!Z11</f>
        <v>0</v>
      </c>
      <c r="AG11" s="1585"/>
      <c r="AH11" s="1586"/>
      <c r="AI11" s="1587">
        <f t="shared" si="2"/>
        <v>0</v>
      </c>
      <c r="AJ11" s="1587">
        <f t="shared" si="2"/>
        <v>0</v>
      </c>
      <c r="AK11" s="1587">
        <f t="shared" si="2"/>
        <v>0</v>
      </c>
      <c r="AL11" s="1588"/>
      <c r="AM11" s="1585"/>
      <c r="AN11" s="1585">
        <f>'[5]int.bevételek RM III'!AJ11</f>
        <v>2044</v>
      </c>
      <c r="AO11" s="1585">
        <v>2044</v>
      </c>
      <c r="AP11" s="1586">
        <f t="shared" si="3"/>
        <v>1</v>
      </c>
      <c r="AQ11" s="1584" t="s">
        <v>1214</v>
      </c>
      <c r="AR11" s="1585">
        <f>[4]int.bevételek2022!L10</f>
        <v>124657</v>
      </c>
      <c r="AS11" s="1585">
        <f>'[5]int.bevételek RM III'!AM11</f>
        <v>131035</v>
      </c>
      <c r="AT11" s="1585">
        <f>121020-1979</f>
        <v>119041</v>
      </c>
      <c r="AU11" s="1586">
        <f t="shared" si="4"/>
        <v>0.90846720341893383</v>
      </c>
      <c r="AV11" s="1585">
        <f>[4]int.bevételek2022!M10</f>
        <v>0</v>
      </c>
      <c r="AW11" s="1585">
        <f>'[5]int.bevételek RM III'!AP11</f>
        <v>1979</v>
      </c>
      <c r="AX11" s="1585">
        <v>1979</v>
      </c>
      <c r="AY11" s="1586">
        <f t="shared" si="5"/>
        <v>1</v>
      </c>
      <c r="AZ11" s="1587">
        <f t="shared" si="6"/>
        <v>124657</v>
      </c>
      <c r="BA11" s="1587">
        <f t="shared" si="6"/>
        <v>133014</v>
      </c>
      <c r="BB11" s="1587">
        <f t="shared" si="6"/>
        <v>121020</v>
      </c>
      <c r="BC11" s="1588">
        <f t="shared" si="7"/>
        <v>0.90982904055212233</v>
      </c>
      <c r="BD11" s="1587">
        <f t="shared" si="8"/>
        <v>125619</v>
      </c>
      <c r="BE11" s="1587">
        <f t="shared" si="8"/>
        <v>136412</v>
      </c>
      <c r="BF11" s="1587">
        <f t="shared" si="8"/>
        <v>124418</v>
      </c>
      <c r="BG11" s="1588">
        <f t="shared" si="9"/>
        <v>0.91207518400140752</v>
      </c>
      <c r="BH11" s="1568"/>
      <c r="BI11" s="1568"/>
      <c r="BJ11" s="804"/>
      <c r="BK11" s="804"/>
      <c r="BL11" s="804"/>
      <c r="BM11" s="804"/>
      <c r="BN11" s="804"/>
      <c r="BO11" s="804"/>
    </row>
    <row r="12" spans="1:67" ht="57" customHeight="1" x14ac:dyDescent="0.7">
      <c r="A12" s="1584" t="s">
        <v>1215</v>
      </c>
      <c r="B12" s="1585">
        <f>[4]int.bevételek2022!B11</f>
        <v>995</v>
      </c>
      <c r="C12" s="1585">
        <f>'[5]int.bevételek RM III'!D12</f>
        <v>1563</v>
      </c>
      <c r="D12" s="1585">
        <v>1563</v>
      </c>
      <c r="E12" s="1586">
        <f t="shared" si="0"/>
        <v>1</v>
      </c>
      <c r="F12" s="1585">
        <f>[4]int.bevételek2022!C11</f>
        <v>0</v>
      </c>
      <c r="G12" s="1585">
        <f>'[5]int.bevételek RM III'!G12</f>
        <v>250</v>
      </c>
      <c r="H12" s="1585">
        <v>250</v>
      </c>
      <c r="I12" s="1586">
        <f>H12/G12</f>
        <v>1</v>
      </c>
      <c r="J12" s="1585">
        <f>[4]int.bevételek2022!D11</f>
        <v>0</v>
      </c>
      <c r="K12" s="1585">
        <f>'[5]int.bevételek RM III'!J12</f>
        <v>0</v>
      </c>
      <c r="L12" s="1585"/>
      <c r="M12" s="1586"/>
      <c r="N12" s="1585">
        <f>[4]int.bevételek2022!E11</f>
        <v>0</v>
      </c>
      <c r="O12" s="1585">
        <f>'[5]int.bevételek RM III'!M12</f>
        <v>0</v>
      </c>
      <c r="P12" s="1585"/>
      <c r="Q12" s="1586"/>
      <c r="R12" s="1587">
        <f t="shared" si="10"/>
        <v>995</v>
      </c>
      <c r="S12" s="1587">
        <f t="shared" si="10"/>
        <v>1813</v>
      </c>
      <c r="T12" s="1587">
        <f t="shared" si="10"/>
        <v>1813</v>
      </c>
      <c r="U12" s="1588">
        <f t="shared" si="1"/>
        <v>1</v>
      </c>
      <c r="V12" s="1584" t="s">
        <v>1215</v>
      </c>
      <c r="W12" s="1585">
        <f>[4]int.bevételek2022!H11</f>
        <v>0</v>
      </c>
      <c r="X12" s="1585">
        <f>'[5]int.bevételek RM III'!T12</f>
        <v>0</v>
      </c>
      <c r="Y12" s="1585"/>
      <c r="Z12" s="1586"/>
      <c r="AA12" s="1585">
        <f>[4]int.bevételek2022!I11</f>
        <v>0</v>
      </c>
      <c r="AB12" s="1585">
        <f>'[5]int.bevételek RM III'!W12</f>
        <v>0</v>
      </c>
      <c r="AC12" s="1585"/>
      <c r="AD12" s="1586"/>
      <c r="AE12" s="1585">
        <f>[4]int.bevételek2022!J11</f>
        <v>0</v>
      </c>
      <c r="AF12" s="1585">
        <f>'[5]int.bevételek RM III'!Z12</f>
        <v>0</v>
      </c>
      <c r="AG12" s="1585"/>
      <c r="AH12" s="1586"/>
      <c r="AI12" s="1587">
        <f t="shared" si="2"/>
        <v>0</v>
      </c>
      <c r="AJ12" s="1587">
        <f t="shared" si="2"/>
        <v>0</v>
      </c>
      <c r="AK12" s="1587">
        <f t="shared" si="2"/>
        <v>0</v>
      </c>
      <c r="AL12" s="1588"/>
      <c r="AM12" s="1585"/>
      <c r="AN12" s="1585">
        <f>'[5]int.bevételek RM III'!AJ12</f>
        <v>1053</v>
      </c>
      <c r="AO12" s="1585">
        <v>1053</v>
      </c>
      <c r="AP12" s="1586">
        <f t="shared" si="3"/>
        <v>1</v>
      </c>
      <c r="AQ12" s="1584" t="s">
        <v>1215</v>
      </c>
      <c r="AR12" s="1585">
        <f>[4]int.bevételek2022!L11</f>
        <v>119182</v>
      </c>
      <c r="AS12" s="1585">
        <f>'[5]int.bevételek RM III'!AM12</f>
        <v>119552</v>
      </c>
      <c r="AT12" s="1585">
        <f>115101-1639</f>
        <v>113462</v>
      </c>
      <c r="AU12" s="1586">
        <f t="shared" si="4"/>
        <v>0.94905982334047112</v>
      </c>
      <c r="AV12" s="1585">
        <f>[4]int.bevételek2022!M11</f>
        <v>0</v>
      </c>
      <c r="AW12" s="1585">
        <f>'[5]int.bevételek RM III'!AP12</f>
        <v>5532</v>
      </c>
      <c r="AX12" s="1585">
        <v>1639</v>
      </c>
      <c r="AY12" s="1586">
        <f t="shared" si="5"/>
        <v>0.2962762111352133</v>
      </c>
      <c r="AZ12" s="1587">
        <f t="shared" si="6"/>
        <v>119182</v>
      </c>
      <c r="BA12" s="1587">
        <f t="shared" si="6"/>
        <v>125084</v>
      </c>
      <c r="BB12" s="1587">
        <f t="shared" si="6"/>
        <v>115101</v>
      </c>
      <c r="BC12" s="1588">
        <f t="shared" si="7"/>
        <v>0.92018963256691499</v>
      </c>
      <c r="BD12" s="1587">
        <f t="shared" si="8"/>
        <v>120177</v>
      </c>
      <c r="BE12" s="1587">
        <f t="shared" si="8"/>
        <v>127950</v>
      </c>
      <c r="BF12" s="1587">
        <f t="shared" si="8"/>
        <v>117967</v>
      </c>
      <c r="BG12" s="1588">
        <f t="shared" si="9"/>
        <v>0.92197733489644396</v>
      </c>
      <c r="BH12" s="1568"/>
      <c r="BI12" s="1568"/>
      <c r="BJ12" s="804"/>
      <c r="BK12" s="804"/>
      <c r="BL12" s="804"/>
      <c r="BM12" s="804"/>
      <c r="BN12" s="804"/>
      <c r="BO12" s="804"/>
    </row>
    <row r="13" spans="1:67" ht="57" customHeight="1" x14ac:dyDescent="0.7">
      <c r="A13" s="1584" t="s">
        <v>1216</v>
      </c>
      <c r="B13" s="1585">
        <f>[4]int.bevételek2022!B12</f>
        <v>700</v>
      </c>
      <c r="C13" s="1585">
        <f>'[5]int.bevételek RM III'!D13</f>
        <v>1409</v>
      </c>
      <c r="D13" s="1585">
        <v>1408</v>
      </c>
      <c r="E13" s="1586">
        <f t="shared" si="0"/>
        <v>0.99929027679205107</v>
      </c>
      <c r="F13" s="1585">
        <f>[4]int.bevételek2022!C12</f>
        <v>0</v>
      </c>
      <c r="G13" s="1585">
        <f>'[5]int.bevételek RM III'!G13</f>
        <v>23</v>
      </c>
      <c r="H13" s="1585">
        <v>23</v>
      </c>
      <c r="I13" s="1586">
        <f>H13/G13</f>
        <v>1</v>
      </c>
      <c r="J13" s="1585">
        <f>[4]int.bevételek2022!D12</f>
        <v>0</v>
      </c>
      <c r="K13" s="1585">
        <f>'[5]int.bevételek RM III'!J13</f>
        <v>0</v>
      </c>
      <c r="L13" s="1585"/>
      <c r="M13" s="1586"/>
      <c r="N13" s="1585">
        <f>[4]int.bevételek2022!E12</f>
        <v>0</v>
      </c>
      <c r="O13" s="1585">
        <f>'[5]int.bevételek RM III'!M13</f>
        <v>0</v>
      </c>
      <c r="P13" s="1585"/>
      <c r="Q13" s="1586"/>
      <c r="R13" s="1587">
        <f t="shared" si="10"/>
        <v>700</v>
      </c>
      <c r="S13" s="1587">
        <f t="shared" si="10"/>
        <v>1432</v>
      </c>
      <c r="T13" s="1587">
        <f t="shared" si="10"/>
        <v>1431</v>
      </c>
      <c r="U13" s="1588">
        <f t="shared" si="1"/>
        <v>0.99930167597765363</v>
      </c>
      <c r="V13" s="1584" t="s">
        <v>1216</v>
      </c>
      <c r="W13" s="1585">
        <f>[4]int.bevételek2022!H12</f>
        <v>0</v>
      </c>
      <c r="X13" s="1585">
        <f>'[5]int.bevételek RM III'!T13</f>
        <v>0</v>
      </c>
      <c r="Y13" s="1585"/>
      <c r="Z13" s="1586"/>
      <c r="AA13" s="1585">
        <f>[4]int.bevételek2022!I12</f>
        <v>0</v>
      </c>
      <c r="AB13" s="1585">
        <f>'[5]int.bevételek RM III'!W13</f>
        <v>0</v>
      </c>
      <c r="AC13" s="1585"/>
      <c r="AD13" s="1586"/>
      <c r="AE13" s="1585">
        <f>[4]int.bevételek2022!J12</f>
        <v>0</v>
      </c>
      <c r="AF13" s="1585">
        <f>'[5]int.bevételek RM III'!Z13</f>
        <v>0</v>
      </c>
      <c r="AG13" s="1585"/>
      <c r="AH13" s="1586"/>
      <c r="AI13" s="1587">
        <f t="shared" si="2"/>
        <v>0</v>
      </c>
      <c r="AJ13" s="1587">
        <f t="shared" si="2"/>
        <v>0</v>
      </c>
      <c r="AK13" s="1587">
        <f t="shared" si="2"/>
        <v>0</v>
      </c>
      <c r="AL13" s="1588"/>
      <c r="AM13" s="1585"/>
      <c r="AN13" s="1585">
        <f>'[5]int.bevételek RM III'!AJ13</f>
        <v>2597</v>
      </c>
      <c r="AO13" s="1585">
        <v>2597</v>
      </c>
      <c r="AP13" s="1586">
        <f t="shared" si="3"/>
        <v>1</v>
      </c>
      <c r="AQ13" s="1584" t="s">
        <v>1216</v>
      </c>
      <c r="AR13" s="1585">
        <f>[4]int.bevételek2022!L12</f>
        <v>148778</v>
      </c>
      <c r="AS13" s="1585">
        <f>'[5]int.bevételek RM III'!AM13</f>
        <v>145197</v>
      </c>
      <c r="AT13" s="1585">
        <f>144227-837</f>
        <v>143390</v>
      </c>
      <c r="AU13" s="1586">
        <f t="shared" si="4"/>
        <v>0.98755483928731314</v>
      </c>
      <c r="AV13" s="1585">
        <f>[4]int.bevételek2022!M12</f>
        <v>0</v>
      </c>
      <c r="AW13" s="1585">
        <f>'[5]int.bevételek RM III'!AP13</f>
        <v>838</v>
      </c>
      <c r="AX13" s="1585">
        <v>837</v>
      </c>
      <c r="AY13" s="1586">
        <f t="shared" si="5"/>
        <v>0.99880668257756566</v>
      </c>
      <c r="AZ13" s="1587">
        <f t="shared" si="6"/>
        <v>148778</v>
      </c>
      <c r="BA13" s="1587">
        <f t="shared" si="6"/>
        <v>146035</v>
      </c>
      <c r="BB13" s="1587">
        <f t="shared" si="6"/>
        <v>144227</v>
      </c>
      <c r="BC13" s="1588">
        <f t="shared" si="7"/>
        <v>0.9876194063067073</v>
      </c>
      <c r="BD13" s="1587">
        <f t="shared" si="8"/>
        <v>149478</v>
      </c>
      <c r="BE13" s="1587">
        <f t="shared" si="8"/>
        <v>150064</v>
      </c>
      <c r="BF13" s="1587">
        <f t="shared" si="8"/>
        <v>148255</v>
      </c>
      <c r="BG13" s="1588">
        <f t="shared" si="9"/>
        <v>0.98794514340548034</v>
      </c>
      <c r="BH13" s="1568"/>
      <c r="BI13" s="1568"/>
      <c r="BJ13" s="804"/>
      <c r="BK13" s="804"/>
      <c r="BL13" s="804"/>
      <c r="BM13" s="804"/>
      <c r="BN13" s="804"/>
      <c r="BO13" s="804"/>
    </row>
    <row r="14" spans="1:67" ht="57" customHeight="1" x14ac:dyDescent="0.7">
      <c r="A14" s="1584" t="s">
        <v>1217</v>
      </c>
      <c r="B14" s="1585">
        <f>[4]int.bevételek2022!B13</f>
        <v>514</v>
      </c>
      <c r="C14" s="1585">
        <f>'[5]int.bevételek RM III'!D14</f>
        <v>1452</v>
      </c>
      <c r="D14" s="1585">
        <v>1451</v>
      </c>
      <c r="E14" s="1586">
        <f t="shared" si="0"/>
        <v>0.99931129476584024</v>
      </c>
      <c r="F14" s="1585">
        <f>[4]int.bevételek2022!C13</f>
        <v>0</v>
      </c>
      <c r="G14" s="1585">
        <f>'[5]int.bevételek RM III'!G14</f>
        <v>101</v>
      </c>
      <c r="H14" s="1585">
        <v>100</v>
      </c>
      <c r="I14" s="1586">
        <f>H14/G14</f>
        <v>0.99009900990099009</v>
      </c>
      <c r="J14" s="1585">
        <f>[4]int.bevételek2022!D13</f>
        <v>0</v>
      </c>
      <c r="K14" s="1585">
        <f>'[5]int.bevételek RM III'!J14</f>
        <v>0</v>
      </c>
      <c r="L14" s="1585"/>
      <c r="M14" s="1586"/>
      <c r="N14" s="1585">
        <f>[4]int.bevételek2022!E13</f>
        <v>0</v>
      </c>
      <c r="O14" s="1585">
        <f>'[5]int.bevételek RM III'!M14</f>
        <v>0</v>
      </c>
      <c r="P14" s="1585"/>
      <c r="Q14" s="1586"/>
      <c r="R14" s="1587">
        <f t="shared" si="10"/>
        <v>514</v>
      </c>
      <c r="S14" s="1587">
        <f t="shared" si="10"/>
        <v>1553</v>
      </c>
      <c r="T14" s="1587">
        <f t="shared" si="10"/>
        <v>1551</v>
      </c>
      <c r="U14" s="1588">
        <f t="shared" si="1"/>
        <v>0.99871216999356083</v>
      </c>
      <c r="V14" s="1584" t="s">
        <v>1217</v>
      </c>
      <c r="W14" s="1585">
        <f>[4]int.bevételek2022!H13</f>
        <v>0</v>
      </c>
      <c r="X14" s="1585">
        <f>'[5]int.bevételek RM III'!T14</f>
        <v>0</v>
      </c>
      <c r="Y14" s="1585"/>
      <c r="Z14" s="1586"/>
      <c r="AA14" s="1585">
        <f>[4]int.bevételek2022!I13</f>
        <v>0</v>
      </c>
      <c r="AB14" s="1585">
        <f>'[5]int.bevételek RM III'!W14</f>
        <v>0</v>
      </c>
      <c r="AC14" s="1585"/>
      <c r="AD14" s="1586"/>
      <c r="AE14" s="1585">
        <f>[4]int.bevételek2022!J13</f>
        <v>0</v>
      </c>
      <c r="AF14" s="1585">
        <f>'[5]int.bevételek RM III'!Z14</f>
        <v>0</v>
      </c>
      <c r="AG14" s="1585"/>
      <c r="AH14" s="1586"/>
      <c r="AI14" s="1587">
        <f t="shared" si="2"/>
        <v>0</v>
      </c>
      <c r="AJ14" s="1587">
        <f t="shared" si="2"/>
        <v>0</v>
      </c>
      <c r="AK14" s="1587">
        <f t="shared" si="2"/>
        <v>0</v>
      </c>
      <c r="AL14" s="1588"/>
      <c r="AM14" s="1585"/>
      <c r="AN14" s="1585">
        <f>'[5]int.bevételek RM III'!AJ14</f>
        <v>3883</v>
      </c>
      <c r="AO14" s="1585">
        <v>3883</v>
      </c>
      <c r="AP14" s="1586">
        <f t="shared" si="3"/>
        <v>1</v>
      </c>
      <c r="AQ14" s="1584" t="s">
        <v>1217</v>
      </c>
      <c r="AR14" s="1585">
        <f>[4]int.bevételek2022!L13</f>
        <v>132875</v>
      </c>
      <c r="AS14" s="1585">
        <f>'[5]int.bevételek RM III'!AM14</f>
        <v>136070</v>
      </c>
      <c r="AT14" s="1585">
        <f>132720-1884</f>
        <v>130836</v>
      </c>
      <c r="AU14" s="1586">
        <f t="shared" si="4"/>
        <v>0.96153450429925769</v>
      </c>
      <c r="AV14" s="1585">
        <f>[4]int.bevételek2022!M13</f>
        <v>0</v>
      </c>
      <c r="AW14" s="1585">
        <f>'[5]int.bevételek RM III'!AP14</f>
        <v>1884</v>
      </c>
      <c r="AX14" s="1585">
        <v>1884</v>
      </c>
      <c r="AY14" s="1586">
        <f t="shared" si="5"/>
        <v>1</v>
      </c>
      <c r="AZ14" s="1587">
        <f t="shared" si="6"/>
        <v>132875</v>
      </c>
      <c r="BA14" s="1587">
        <f t="shared" si="6"/>
        <v>137954</v>
      </c>
      <c r="BB14" s="1587">
        <f t="shared" si="6"/>
        <v>132720</v>
      </c>
      <c r="BC14" s="1588">
        <f t="shared" si="7"/>
        <v>0.96205981704046273</v>
      </c>
      <c r="BD14" s="1587">
        <f t="shared" si="8"/>
        <v>133389</v>
      </c>
      <c r="BE14" s="1587">
        <f t="shared" si="8"/>
        <v>143390</v>
      </c>
      <c r="BF14" s="1587">
        <f t="shared" si="8"/>
        <v>138154</v>
      </c>
      <c r="BG14" s="1588">
        <f t="shared" si="9"/>
        <v>0.96348420391938072</v>
      </c>
      <c r="BH14" s="1568"/>
      <c r="BI14" s="1568"/>
      <c r="BJ14" s="804"/>
      <c r="BK14" s="804"/>
      <c r="BL14" s="804"/>
      <c r="BM14" s="804"/>
      <c r="BN14" s="804"/>
      <c r="BO14" s="804"/>
    </row>
    <row r="15" spans="1:67" ht="57" customHeight="1" x14ac:dyDescent="0.7">
      <c r="A15" s="1584" t="s">
        <v>1218</v>
      </c>
      <c r="B15" s="1585">
        <f>[4]int.bevételek2022!B14</f>
        <v>676</v>
      </c>
      <c r="C15" s="1585">
        <f>'[5]int.bevételek RM III'!D15</f>
        <v>1375</v>
      </c>
      <c r="D15" s="1585">
        <v>1375</v>
      </c>
      <c r="E15" s="1586">
        <f t="shared" si="0"/>
        <v>1</v>
      </c>
      <c r="F15" s="1585">
        <f>[4]int.bevételek2022!C14</f>
        <v>0</v>
      </c>
      <c r="G15" s="1585">
        <f>'[5]int.bevételek RM III'!G15</f>
        <v>0</v>
      </c>
      <c r="H15" s="1585"/>
      <c r="I15" s="1586"/>
      <c r="J15" s="1585">
        <f>[4]int.bevételek2022!D14</f>
        <v>0</v>
      </c>
      <c r="K15" s="1585">
        <f>'[5]int.bevételek RM III'!J15</f>
        <v>459</v>
      </c>
      <c r="L15" s="1585">
        <v>459</v>
      </c>
      <c r="M15" s="1586">
        <f>L15/K15</f>
        <v>1</v>
      </c>
      <c r="N15" s="1585">
        <f>[4]int.bevételek2022!E14</f>
        <v>0</v>
      </c>
      <c r="O15" s="1585">
        <f>'[5]int.bevételek RM III'!M15</f>
        <v>0</v>
      </c>
      <c r="P15" s="1585"/>
      <c r="Q15" s="1586"/>
      <c r="R15" s="1587">
        <f t="shared" si="10"/>
        <v>676</v>
      </c>
      <c r="S15" s="1587">
        <f t="shared" si="10"/>
        <v>1834</v>
      </c>
      <c r="T15" s="1587">
        <f t="shared" si="10"/>
        <v>1834</v>
      </c>
      <c r="U15" s="1588">
        <f t="shared" si="1"/>
        <v>1</v>
      </c>
      <c r="V15" s="1584" t="s">
        <v>1218</v>
      </c>
      <c r="W15" s="1585">
        <f>[4]int.bevételek2022!H14</f>
        <v>0</v>
      </c>
      <c r="X15" s="1585">
        <f>'[5]int.bevételek RM III'!T15</f>
        <v>0</v>
      </c>
      <c r="Y15" s="1585"/>
      <c r="Z15" s="1586"/>
      <c r="AA15" s="1585">
        <f>[4]int.bevételek2022!I14</f>
        <v>0</v>
      </c>
      <c r="AB15" s="1585">
        <f>'[5]int.bevételek RM III'!W15</f>
        <v>0</v>
      </c>
      <c r="AC15" s="1585"/>
      <c r="AD15" s="1586"/>
      <c r="AE15" s="1585">
        <f>[4]int.bevételek2022!J14</f>
        <v>0</v>
      </c>
      <c r="AF15" s="1585">
        <f>'[5]int.bevételek RM III'!Z15</f>
        <v>0</v>
      </c>
      <c r="AG15" s="1585"/>
      <c r="AH15" s="1586"/>
      <c r="AI15" s="1587">
        <f t="shared" si="2"/>
        <v>0</v>
      </c>
      <c r="AJ15" s="1587">
        <f t="shared" si="2"/>
        <v>0</v>
      </c>
      <c r="AK15" s="1587">
        <f t="shared" si="2"/>
        <v>0</v>
      </c>
      <c r="AL15" s="1588"/>
      <c r="AM15" s="1585"/>
      <c r="AN15" s="1585">
        <f>'[5]int.bevételek RM III'!AJ15</f>
        <v>1604</v>
      </c>
      <c r="AO15" s="1585">
        <v>1604</v>
      </c>
      <c r="AP15" s="1586">
        <f t="shared" si="3"/>
        <v>1</v>
      </c>
      <c r="AQ15" s="1584" t="s">
        <v>1218</v>
      </c>
      <c r="AR15" s="1585">
        <f>[4]int.bevételek2022!L14</f>
        <v>120838</v>
      </c>
      <c r="AS15" s="1585">
        <f>'[5]int.bevételek RM III'!AM15</f>
        <v>121056</v>
      </c>
      <c r="AT15" s="1585">
        <f>116767-1792</f>
        <v>114975</v>
      </c>
      <c r="AU15" s="1586">
        <f t="shared" si="4"/>
        <v>0.94976704996034889</v>
      </c>
      <c r="AV15" s="1585">
        <f>[4]int.bevételek2022!M14</f>
        <v>0</v>
      </c>
      <c r="AW15" s="1585">
        <f>'[5]int.bevételek RM III'!AP15</f>
        <v>1793</v>
      </c>
      <c r="AX15" s="1585">
        <v>1792</v>
      </c>
      <c r="AY15" s="1586">
        <f t="shared" si="5"/>
        <v>0.99944227551589515</v>
      </c>
      <c r="AZ15" s="1587">
        <f t="shared" si="6"/>
        <v>120838</v>
      </c>
      <c r="BA15" s="1587">
        <f t="shared" si="6"/>
        <v>122849</v>
      </c>
      <c r="BB15" s="1587">
        <f t="shared" si="6"/>
        <v>116767</v>
      </c>
      <c r="BC15" s="1588">
        <f t="shared" si="7"/>
        <v>0.95049206749749693</v>
      </c>
      <c r="BD15" s="1587">
        <f t="shared" si="8"/>
        <v>121514</v>
      </c>
      <c r="BE15" s="1587">
        <f t="shared" si="8"/>
        <v>126287</v>
      </c>
      <c r="BF15" s="1587">
        <f t="shared" si="8"/>
        <v>120205</v>
      </c>
      <c r="BG15" s="1588">
        <f t="shared" si="9"/>
        <v>0.95183985683403671</v>
      </c>
      <c r="BH15" s="1568"/>
      <c r="BI15" s="1568"/>
      <c r="BJ15" s="804"/>
      <c r="BK15" s="804"/>
      <c r="BL15" s="804"/>
      <c r="BM15" s="804"/>
      <c r="BN15" s="804"/>
      <c r="BO15" s="804"/>
    </row>
    <row r="16" spans="1:67" ht="57" customHeight="1" x14ac:dyDescent="0.7">
      <c r="A16" s="1584" t="s">
        <v>1219</v>
      </c>
      <c r="B16" s="1585">
        <f>[4]int.bevételek2022!B15</f>
        <v>820</v>
      </c>
      <c r="C16" s="1585">
        <f>'[5]int.bevételek RM III'!D16</f>
        <v>1751</v>
      </c>
      <c r="D16" s="1585">
        <v>1751</v>
      </c>
      <c r="E16" s="1586">
        <f t="shared" si="0"/>
        <v>1</v>
      </c>
      <c r="F16" s="1585">
        <f>[4]int.bevételek2022!C15</f>
        <v>0</v>
      </c>
      <c r="G16" s="1585">
        <f>'[5]int.bevételek RM III'!G16</f>
        <v>0</v>
      </c>
      <c r="H16" s="1585"/>
      <c r="I16" s="1586"/>
      <c r="J16" s="1585">
        <f>[4]int.bevételek2022!D15</f>
        <v>0</v>
      </c>
      <c r="K16" s="1585">
        <f>'[5]int.bevételek RM III'!J16</f>
        <v>0</v>
      </c>
      <c r="L16" s="1585"/>
      <c r="M16" s="1586"/>
      <c r="N16" s="1585">
        <f>[4]int.bevételek2022!E15</f>
        <v>0</v>
      </c>
      <c r="O16" s="1585">
        <f>'[5]int.bevételek RM III'!M16</f>
        <v>0</v>
      </c>
      <c r="P16" s="1585"/>
      <c r="Q16" s="1586"/>
      <c r="R16" s="1587">
        <f t="shared" si="10"/>
        <v>820</v>
      </c>
      <c r="S16" s="1587">
        <f t="shared" si="10"/>
        <v>1751</v>
      </c>
      <c r="T16" s="1587">
        <f t="shared" si="10"/>
        <v>1751</v>
      </c>
      <c r="U16" s="1588">
        <f t="shared" si="1"/>
        <v>1</v>
      </c>
      <c r="V16" s="1584" t="s">
        <v>1219</v>
      </c>
      <c r="W16" s="1585">
        <f>[4]int.bevételek2022!H15</f>
        <v>0</v>
      </c>
      <c r="X16" s="1585">
        <f>'[5]int.bevételek RM III'!T16</f>
        <v>0</v>
      </c>
      <c r="Y16" s="1585"/>
      <c r="Z16" s="1586"/>
      <c r="AA16" s="1585">
        <f>[4]int.bevételek2022!I15</f>
        <v>0</v>
      </c>
      <c r="AB16" s="1585">
        <f>'[5]int.bevételek RM III'!W16</f>
        <v>0</v>
      </c>
      <c r="AC16" s="1585"/>
      <c r="AD16" s="1586"/>
      <c r="AE16" s="1585">
        <f>[4]int.bevételek2022!J15</f>
        <v>0</v>
      </c>
      <c r="AF16" s="1585">
        <f>'[5]int.bevételek RM III'!Z16</f>
        <v>0</v>
      </c>
      <c r="AG16" s="1585"/>
      <c r="AH16" s="1586"/>
      <c r="AI16" s="1587">
        <f t="shared" si="2"/>
        <v>0</v>
      </c>
      <c r="AJ16" s="1587">
        <f t="shared" si="2"/>
        <v>0</v>
      </c>
      <c r="AK16" s="1587">
        <f t="shared" si="2"/>
        <v>0</v>
      </c>
      <c r="AL16" s="1588"/>
      <c r="AM16" s="1585"/>
      <c r="AN16" s="1585">
        <f>'[5]int.bevételek RM III'!AJ16</f>
        <v>2114</v>
      </c>
      <c r="AO16" s="1585">
        <v>2114</v>
      </c>
      <c r="AP16" s="1586">
        <f t="shared" si="3"/>
        <v>1</v>
      </c>
      <c r="AQ16" s="1584" t="s">
        <v>1219</v>
      </c>
      <c r="AR16" s="1585">
        <f>[4]int.bevételek2022!L15</f>
        <v>101409</v>
      </c>
      <c r="AS16" s="1585">
        <f>'[5]int.bevételek RM III'!AM16</f>
        <v>102680</v>
      </c>
      <c r="AT16" s="1585">
        <f>102574-2120</f>
        <v>100454</v>
      </c>
      <c r="AU16" s="1586">
        <f t="shared" si="4"/>
        <v>0.97832099727308142</v>
      </c>
      <c r="AV16" s="1585">
        <f>[4]int.bevételek2022!M15</f>
        <v>0</v>
      </c>
      <c r="AW16" s="1585">
        <f>'[5]int.bevételek RM III'!AP16</f>
        <v>2121</v>
      </c>
      <c r="AX16" s="1585">
        <v>2120</v>
      </c>
      <c r="AY16" s="1586">
        <f t="shared" si="5"/>
        <v>0.99952852428099948</v>
      </c>
      <c r="AZ16" s="1587">
        <f t="shared" si="6"/>
        <v>101409</v>
      </c>
      <c r="BA16" s="1587">
        <f t="shared" si="6"/>
        <v>104801</v>
      </c>
      <c r="BB16" s="1587">
        <f t="shared" si="6"/>
        <v>102574</v>
      </c>
      <c r="BC16" s="1588">
        <f t="shared" si="7"/>
        <v>0.97875020276524083</v>
      </c>
      <c r="BD16" s="1587">
        <f t="shared" si="8"/>
        <v>102229</v>
      </c>
      <c r="BE16" s="1587">
        <f t="shared" si="8"/>
        <v>108666</v>
      </c>
      <c r="BF16" s="1587">
        <f t="shared" si="8"/>
        <v>106439</v>
      </c>
      <c r="BG16" s="1588">
        <f t="shared" si="9"/>
        <v>0.97950600923932052</v>
      </c>
      <c r="BH16" s="1568"/>
      <c r="BI16" s="1568"/>
      <c r="BJ16" s="804"/>
      <c r="BK16" s="804"/>
      <c r="BL16" s="804"/>
      <c r="BM16" s="804"/>
      <c r="BN16" s="804"/>
      <c r="BO16" s="804"/>
    </row>
    <row r="17" spans="1:67" ht="57" customHeight="1" x14ac:dyDescent="0.7">
      <c r="A17" s="1584" t="s">
        <v>1220</v>
      </c>
      <c r="B17" s="1585">
        <f>[4]int.bevételek2022!B16</f>
        <v>745</v>
      </c>
      <c r="C17" s="1585">
        <f>'[5]int.bevételek RM III'!D17</f>
        <v>1638</v>
      </c>
      <c r="D17" s="1585">
        <v>1638</v>
      </c>
      <c r="E17" s="1586">
        <f t="shared" si="0"/>
        <v>1</v>
      </c>
      <c r="F17" s="1585">
        <f>[4]int.bevételek2022!C16</f>
        <v>0</v>
      </c>
      <c r="G17" s="1585">
        <f>'[5]int.bevételek RM III'!G17</f>
        <v>0</v>
      </c>
      <c r="H17" s="1585"/>
      <c r="I17" s="1586"/>
      <c r="J17" s="1585">
        <f>[4]int.bevételek2022!D16</f>
        <v>0</v>
      </c>
      <c r="K17" s="1585">
        <f>'[5]int.bevételek RM III'!J17</f>
        <v>0</v>
      </c>
      <c r="L17" s="1585"/>
      <c r="M17" s="1586"/>
      <c r="N17" s="1585">
        <f>[4]int.bevételek2022!E16</f>
        <v>0</v>
      </c>
      <c r="O17" s="1585">
        <f>'[5]int.bevételek RM III'!M17</f>
        <v>0</v>
      </c>
      <c r="P17" s="1585"/>
      <c r="Q17" s="1586"/>
      <c r="R17" s="1587">
        <f t="shared" si="10"/>
        <v>745</v>
      </c>
      <c r="S17" s="1587">
        <f t="shared" si="10"/>
        <v>1638</v>
      </c>
      <c r="T17" s="1587">
        <f t="shared" si="10"/>
        <v>1638</v>
      </c>
      <c r="U17" s="1588">
        <f t="shared" si="1"/>
        <v>1</v>
      </c>
      <c r="V17" s="1584" t="s">
        <v>1220</v>
      </c>
      <c r="W17" s="1585">
        <f>[4]int.bevételek2022!H16</f>
        <v>0</v>
      </c>
      <c r="X17" s="1585">
        <f>'[5]int.bevételek RM III'!T17</f>
        <v>0</v>
      </c>
      <c r="Y17" s="1585"/>
      <c r="Z17" s="1586"/>
      <c r="AA17" s="1585">
        <f>[4]int.bevételek2022!I16</f>
        <v>0</v>
      </c>
      <c r="AB17" s="1585">
        <f>'[5]int.bevételek RM III'!W17</f>
        <v>0</v>
      </c>
      <c r="AC17" s="1585"/>
      <c r="AD17" s="1586"/>
      <c r="AE17" s="1585">
        <f>[4]int.bevételek2022!J16</f>
        <v>0</v>
      </c>
      <c r="AF17" s="1585">
        <f>'[5]int.bevételek RM III'!Z17</f>
        <v>0</v>
      </c>
      <c r="AG17" s="1585"/>
      <c r="AH17" s="1586"/>
      <c r="AI17" s="1587">
        <f t="shared" si="2"/>
        <v>0</v>
      </c>
      <c r="AJ17" s="1587">
        <f t="shared" si="2"/>
        <v>0</v>
      </c>
      <c r="AK17" s="1587">
        <f t="shared" si="2"/>
        <v>0</v>
      </c>
      <c r="AL17" s="1588"/>
      <c r="AM17" s="1585"/>
      <c r="AN17" s="1585">
        <f>'[5]int.bevételek RM III'!AJ17</f>
        <v>1917</v>
      </c>
      <c r="AO17" s="1585">
        <v>1917</v>
      </c>
      <c r="AP17" s="1586">
        <f t="shared" si="3"/>
        <v>1</v>
      </c>
      <c r="AQ17" s="1584" t="s">
        <v>1220</v>
      </c>
      <c r="AR17" s="1585">
        <f>[4]int.bevételek2022!L16</f>
        <v>95154</v>
      </c>
      <c r="AS17" s="1585">
        <f>'[5]int.bevételek RM III'!AM17</f>
        <v>97135</v>
      </c>
      <c r="AT17" s="1585">
        <f>90004-433</f>
        <v>89571</v>
      </c>
      <c r="AU17" s="1586">
        <f t="shared" si="4"/>
        <v>0.92212899572759566</v>
      </c>
      <c r="AV17" s="1585">
        <f>[4]int.bevételek2022!M16</f>
        <v>0</v>
      </c>
      <c r="AW17" s="1585">
        <f>'[5]int.bevételek RM III'!AP17</f>
        <v>1734</v>
      </c>
      <c r="AX17" s="1585">
        <v>433</v>
      </c>
      <c r="AY17" s="1586">
        <f t="shared" si="5"/>
        <v>0.24971164936562859</v>
      </c>
      <c r="AZ17" s="1587">
        <f t="shared" si="6"/>
        <v>95154</v>
      </c>
      <c r="BA17" s="1587">
        <f t="shared" si="6"/>
        <v>98869</v>
      </c>
      <c r="BB17" s="1587">
        <f t="shared" si="6"/>
        <v>90004</v>
      </c>
      <c r="BC17" s="1588">
        <f t="shared" si="7"/>
        <v>0.91033589901789236</v>
      </c>
      <c r="BD17" s="1587">
        <f t="shared" si="8"/>
        <v>95899</v>
      </c>
      <c r="BE17" s="1587">
        <f t="shared" si="8"/>
        <v>102424</v>
      </c>
      <c r="BF17" s="1587">
        <f t="shared" si="8"/>
        <v>93559</v>
      </c>
      <c r="BG17" s="1588">
        <f t="shared" si="9"/>
        <v>0.91344801999531355</v>
      </c>
      <c r="BH17" s="1568"/>
      <c r="BI17" s="1568"/>
      <c r="BJ17" s="804"/>
      <c r="BK17" s="804"/>
      <c r="BL17" s="804"/>
      <c r="BM17" s="804"/>
      <c r="BN17" s="804"/>
      <c r="BO17" s="804"/>
    </row>
    <row r="18" spans="1:67" ht="57" customHeight="1" x14ac:dyDescent="0.7">
      <c r="A18" s="1584" t="s">
        <v>1221</v>
      </c>
      <c r="B18" s="1585">
        <f>[4]int.bevételek2022!B17</f>
        <v>750</v>
      </c>
      <c r="C18" s="1585">
        <f>'[5]int.bevételek RM III'!D18</f>
        <v>984</v>
      </c>
      <c r="D18" s="1585">
        <v>984</v>
      </c>
      <c r="E18" s="1586">
        <f t="shared" si="0"/>
        <v>1</v>
      </c>
      <c r="F18" s="1585">
        <f>[4]int.bevételek2022!C17</f>
        <v>0</v>
      </c>
      <c r="G18" s="1585">
        <f>'[5]int.bevételek RM III'!G18</f>
        <v>0</v>
      </c>
      <c r="H18" s="1585"/>
      <c r="I18" s="1586"/>
      <c r="J18" s="1585">
        <f>[4]int.bevételek2022!D17</f>
        <v>0</v>
      </c>
      <c r="K18" s="1585">
        <f>'[5]int.bevételek RM III'!J18</f>
        <v>0</v>
      </c>
      <c r="L18" s="1585"/>
      <c r="M18" s="1586"/>
      <c r="N18" s="1585">
        <f>[4]int.bevételek2022!E17</f>
        <v>0</v>
      </c>
      <c r="O18" s="1585">
        <f>'[5]int.bevételek RM III'!M18</f>
        <v>0</v>
      </c>
      <c r="P18" s="1585"/>
      <c r="Q18" s="1586"/>
      <c r="R18" s="1587">
        <f t="shared" si="10"/>
        <v>750</v>
      </c>
      <c r="S18" s="1587">
        <f t="shared" si="10"/>
        <v>984</v>
      </c>
      <c r="T18" s="1587">
        <f t="shared" si="10"/>
        <v>984</v>
      </c>
      <c r="U18" s="1588">
        <f t="shared" si="1"/>
        <v>1</v>
      </c>
      <c r="V18" s="1584" t="s">
        <v>1221</v>
      </c>
      <c r="W18" s="1585">
        <f>[4]int.bevételek2022!H17</f>
        <v>0</v>
      </c>
      <c r="X18" s="1585">
        <f>'[5]int.bevételek RM III'!T18</f>
        <v>0</v>
      </c>
      <c r="Y18" s="1585"/>
      <c r="Z18" s="1586"/>
      <c r="AA18" s="1585">
        <f>[4]int.bevételek2022!I17</f>
        <v>0</v>
      </c>
      <c r="AB18" s="1585">
        <f>'[5]int.bevételek RM III'!W18</f>
        <v>0</v>
      </c>
      <c r="AC18" s="1585"/>
      <c r="AD18" s="1586"/>
      <c r="AE18" s="1585">
        <f>[4]int.bevételek2022!J17</f>
        <v>0</v>
      </c>
      <c r="AF18" s="1585">
        <f>'[5]int.bevételek RM III'!Z18</f>
        <v>0</v>
      </c>
      <c r="AG18" s="1585"/>
      <c r="AH18" s="1586"/>
      <c r="AI18" s="1587">
        <f t="shared" si="2"/>
        <v>0</v>
      </c>
      <c r="AJ18" s="1587">
        <f t="shared" si="2"/>
        <v>0</v>
      </c>
      <c r="AK18" s="1587">
        <f t="shared" si="2"/>
        <v>0</v>
      </c>
      <c r="AL18" s="1588"/>
      <c r="AM18" s="1585"/>
      <c r="AN18" s="1585">
        <f>'[5]int.bevételek RM III'!AJ18</f>
        <v>2914</v>
      </c>
      <c r="AO18" s="1585">
        <v>2914</v>
      </c>
      <c r="AP18" s="1586">
        <f t="shared" si="3"/>
        <v>1</v>
      </c>
      <c r="AQ18" s="1584" t="s">
        <v>1221</v>
      </c>
      <c r="AR18" s="1585">
        <f>[4]int.bevételek2022!L17</f>
        <v>126754</v>
      </c>
      <c r="AS18" s="1585">
        <f>'[5]int.bevételek RM III'!AM18</f>
        <v>129920</v>
      </c>
      <c r="AT18" s="1585">
        <f>134218-10835</f>
        <v>123383</v>
      </c>
      <c r="AU18" s="1586">
        <f t="shared" si="4"/>
        <v>0.94968442118226604</v>
      </c>
      <c r="AV18" s="1585">
        <f>[4]int.bevételek2022!M17</f>
        <v>0</v>
      </c>
      <c r="AW18" s="1585">
        <f>'[5]int.bevételek RM III'!AP18</f>
        <v>10836</v>
      </c>
      <c r="AX18" s="1585">
        <v>10835</v>
      </c>
      <c r="AY18" s="1586">
        <f t="shared" si="5"/>
        <v>0.99990771502399411</v>
      </c>
      <c r="AZ18" s="1587">
        <f t="shared" si="6"/>
        <v>126754</v>
      </c>
      <c r="BA18" s="1587">
        <f t="shared" si="6"/>
        <v>140756</v>
      </c>
      <c r="BB18" s="1587">
        <f t="shared" si="6"/>
        <v>134218</v>
      </c>
      <c r="BC18" s="1588">
        <f t="shared" si="7"/>
        <v>0.95355082554207282</v>
      </c>
      <c r="BD18" s="1587">
        <f t="shared" si="8"/>
        <v>127504</v>
      </c>
      <c r="BE18" s="1587">
        <f t="shared" si="8"/>
        <v>144654</v>
      </c>
      <c r="BF18" s="1587">
        <f t="shared" si="8"/>
        <v>138116</v>
      </c>
      <c r="BG18" s="1588">
        <f t="shared" si="9"/>
        <v>0.95480249422760521</v>
      </c>
      <c r="BH18" s="1568"/>
      <c r="BI18" s="1568"/>
      <c r="BJ18" s="804"/>
      <c r="BK18" s="804"/>
      <c r="BL18" s="804"/>
      <c r="BM18" s="804"/>
      <c r="BN18" s="804"/>
      <c r="BO18" s="804"/>
    </row>
    <row r="19" spans="1:67" ht="57" customHeight="1" x14ac:dyDescent="0.7">
      <c r="A19" s="1584" t="s">
        <v>1222</v>
      </c>
      <c r="B19" s="1585">
        <f>[4]int.bevételek2022!B18</f>
        <v>525</v>
      </c>
      <c r="C19" s="1585">
        <f>'[5]int.bevételek RM III'!D19</f>
        <v>2803</v>
      </c>
      <c r="D19" s="1585">
        <v>2803</v>
      </c>
      <c r="E19" s="1586">
        <f t="shared" si="0"/>
        <v>1</v>
      </c>
      <c r="F19" s="1585">
        <f>[4]int.bevételek2022!C18</f>
        <v>0</v>
      </c>
      <c r="G19" s="1585">
        <f>'[5]int.bevételek RM III'!G19</f>
        <v>0</v>
      </c>
      <c r="H19" s="1585"/>
      <c r="I19" s="1586"/>
      <c r="J19" s="1585">
        <f>[4]int.bevételek2022!D18</f>
        <v>0</v>
      </c>
      <c r="K19" s="1585">
        <f>'[5]int.bevételek RM III'!J19</f>
        <v>0</v>
      </c>
      <c r="L19" s="1585"/>
      <c r="M19" s="1586"/>
      <c r="N19" s="1585">
        <f>[4]int.bevételek2022!E18</f>
        <v>0</v>
      </c>
      <c r="O19" s="1585">
        <f>'[5]int.bevételek RM III'!M19</f>
        <v>0</v>
      </c>
      <c r="P19" s="1585"/>
      <c r="Q19" s="1586"/>
      <c r="R19" s="1587">
        <f t="shared" si="10"/>
        <v>525</v>
      </c>
      <c r="S19" s="1587">
        <f t="shared" si="10"/>
        <v>2803</v>
      </c>
      <c r="T19" s="1587">
        <f t="shared" si="10"/>
        <v>2803</v>
      </c>
      <c r="U19" s="1588">
        <f t="shared" si="1"/>
        <v>1</v>
      </c>
      <c r="V19" s="1584" t="s">
        <v>1222</v>
      </c>
      <c r="W19" s="1585">
        <f>[4]int.bevételek2022!H18</f>
        <v>0</v>
      </c>
      <c r="X19" s="1585">
        <f>'[5]int.bevételek RM III'!T19</f>
        <v>0</v>
      </c>
      <c r="Y19" s="1585"/>
      <c r="Z19" s="1586"/>
      <c r="AA19" s="1585">
        <f>[4]int.bevételek2022!I18</f>
        <v>0</v>
      </c>
      <c r="AB19" s="1585">
        <f>'[5]int.bevételek RM III'!W19</f>
        <v>0</v>
      </c>
      <c r="AC19" s="1585"/>
      <c r="AD19" s="1586"/>
      <c r="AE19" s="1585">
        <f>[4]int.bevételek2022!J18</f>
        <v>0</v>
      </c>
      <c r="AF19" s="1585">
        <f>'[5]int.bevételek RM III'!Z19</f>
        <v>0</v>
      </c>
      <c r="AG19" s="1585"/>
      <c r="AH19" s="1586"/>
      <c r="AI19" s="1587">
        <f t="shared" si="2"/>
        <v>0</v>
      </c>
      <c r="AJ19" s="1587">
        <f t="shared" si="2"/>
        <v>0</v>
      </c>
      <c r="AK19" s="1587">
        <f t="shared" si="2"/>
        <v>0</v>
      </c>
      <c r="AL19" s="1588"/>
      <c r="AM19" s="1585"/>
      <c r="AN19" s="1585">
        <f>'[5]int.bevételek RM III'!AJ19</f>
        <v>3245</v>
      </c>
      <c r="AO19" s="1585">
        <v>3245</v>
      </c>
      <c r="AP19" s="1586">
        <f t="shared" si="3"/>
        <v>1</v>
      </c>
      <c r="AQ19" s="1584" t="s">
        <v>1222</v>
      </c>
      <c r="AR19" s="1585">
        <f>[4]int.bevételek2022!L18</f>
        <v>159062</v>
      </c>
      <c r="AS19" s="1585">
        <f>'[5]int.bevételek RM III'!AM19</f>
        <v>159078</v>
      </c>
      <c r="AT19" s="1585">
        <f>151740-466</f>
        <v>151274</v>
      </c>
      <c r="AU19" s="1586">
        <f t="shared" si="4"/>
        <v>0.95094230503275123</v>
      </c>
      <c r="AV19" s="1585">
        <f>[4]int.bevételek2022!M18</f>
        <v>0</v>
      </c>
      <c r="AW19" s="1585">
        <f>'[5]int.bevételek RM III'!AP19</f>
        <v>467</v>
      </c>
      <c r="AX19" s="1585">
        <v>466</v>
      </c>
      <c r="AY19" s="1586">
        <f t="shared" si="5"/>
        <v>0.99785867237687365</v>
      </c>
      <c r="AZ19" s="1587">
        <f t="shared" si="6"/>
        <v>159062</v>
      </c>
      <c r="BA19" s="1587">
        <f t="shared" si="6"/>
        <v>159545</v>
      </c>
      <c r="BB19" s="1587">
        <f t="shared" si="6"/>
        <v>151740</v>
      </c>
      <c r="BC19" s="1588">
        <f t="shared" si="7"/>
        <v>0.95107963270550633</v>
      </c>
      <c r="BD19" s="1587">
        <f t="shared" si="8"/>
        <v>159587</v>
      </c>
      <c r="BE19" s="1587">
        <f t="shared" si="8"/>
        <v>165593</v>
      </c>
      <c r="BF19" s="1587">
        <f t="shared" si="8"/>
        <v>157788</v>
      </c>
      <c r="BG19" s="1588">
        <f t="shared" si="9"/>
        <v>0.95286636512412959</v>
      </c>
      <c r="BH19" s="1568"/>
      <c r="BI19" s="1568"/>
      <c r="BJ19" s="804"/>
      <c r="BK19" s="804"/>
      <c r="BL19" s="804"/>
      <c r="BM19" s="804"/>
      <c r="BN19" s="804"/>
      <c r="BO19" s="804"/>
    </row>
    <row r="20" spans="1:67" ht="57" customHeight="1" x14ac:dyDescent="0.7">
      <c r="A20" s="1584" t="s">
        <v>1223</v>
      </c>
      <c r="B20" s="1585">
        <f>[4]int.bevételek2022!B19</f>
        <v>263</v>
      </c>
      <c r="C20" s="1585">
        <f>'[5]int.bevételek RM III'!D20</f>
        <v>638</v>
      </c>
      <c r="D20" s="1585">
        <v>638</v>
      </c>
      <c r="E20" s="1586">
        <f t="shared" si="0"/>
        <v>1</v>
      </c>
      <c r="F20" s="1585">
        <f>[4]int.bevételek2022!C19</f>
        <v>0</v>
      </c>
      <c r="G20" s="1585">
        <f>'[5]int.bevételek RM III'!G20</f>
        <v>0</v>
      </c>
      <c r="H20" s="1585"/>
      <c r="I20" s="1586"/>
      <c r="J20" s="1585">
        <f>[4]int.bevételek2022!D19</f>
        <v>0</v>
      </c>
      <c r="K20" s="1585">
        <f>'[5]int.bevételek RM III'!J20</f>
        <v>0</v>
      </c>
      <c r="L20" s="1585"/>
      <c r="M20" s="1586"/>
      <c r="N20" s="1585">
        <f>[4]int.bevételek2022!E19</f>
        <v>0</v>
      </c>
      <c r="O20" s="1585">
        <f>'[5]int.bevételek RM III'!M20</f>
        <v>0</v>
      </c>
      <c r="P20" s="1585"/>
      <c r="Q20" s="1586"/>
      <c r="R20" s="1587">
        <f t="shared" si="10"/>
        <v>263</v>
      </c>
      <c r="S20" s="1587">
        <f t="shared" si="10"/>
        <v>638</v>
      </c>
      <c r="T20" s="1587">
        <f t="shared" si="10"/>
        <v>638</v>
      </c>
      <c r="U20" s="1588">
        <f t="shared" si="1"/>
        <v>1</v>
      </c>
      <c r="V20" s="1584" t="s">
        <v>1223</v>
      </c>
      <c r="W20" s="1585">
        <f>[4]int.bevételek2022!H19</f>
        <v>0</v>
      </c>
      <c r="X20" s="1585">
        <f>'[5]int.bevételek RM III'!T20</f>
        <v>0</v>
      </c>
      <c r="Y20" s="1585"/>
      <c r="Z20" s="1586"/>
      <c r="AA20" s="1585">
        <f>[4]int.bevételek2022!I19</f>
        <v>0</v>
      </c>
      <c r="AB20" s="1585">
        <f>'[5]int.bevételek RM III'!W20</f>
        <v>0</v>
      </c>
      <c r="AC20" s="1585"/>
      <c r="AD20" s="1586"/>
      <c r="AE20" s="1585">
        <f>[4]int.bevételek2022!J19</f>
        <v>0</v>
      </c>
      <c r="AF20" s="1585">
        <f>'[5]int.bevételek RM III'!Z20</f>
        <v>0</v>
      </c>
      <c r="AG20" s="1585"/>
      <c r="AH20" s="1586"/>
      <c r="AI20" s="1587">
        <f t="shared" si="2"/>
        <v>0</v>
      </c>
      <c r="AJ20" s="1587">
        <f t="shared" si="2"/>
        <v>0</v>
      </c>
      <c r="AK20" s="1587">
        <f t="shared" si="2"/>
        <v>0</v>
      </c>
      <c r="AL20" s="1588"/>
      <c r="AM20" s="1585"/>
      <c r="AN20" s="1585">
        <f>'[5]int.bevételek RM III'!AJ20</f>
        <v>787</v>
      </c>
      <c r="AO20" s="1585">
        <v>787</v>
      </c>
      <c r="AP20" s="1586">
        <f t="shared" si="3"/>
        <v>1</v>
      </c>
      <c r="AQ20" s="1584" t="s">
        <v>1223</v>
      </c>
      <c r="AR20" s="1585">
        <f>[4]int.bevételek2022!L19</f>
        <v>82201</v>
      </c>
      <c r="AS20" s="1585">
        <f>'[5]int.bevételek RM III'!AM20</f>
        <v>83439</v>
      </c>
      <c r="AT20" s="1585">
        <f>80905-2242</f>
        <v>78663</v>
      </c>
      <c r="AU20" s="1586">
        <f t="shared" si="4"/>
        <v>0.94276057958508608</v>
      </c>
      <c r="AV20" s="1585">
        <f>[4]int.bevételek2022!M19</f>
        <v>0</v>
      </c>
      <c r="AW20" s="1585">
        <f>'[5]int.bevételek RM III'!AP20</f>
        <v>2243</v>
      </c>
      <c r="AX20" s="1585">
        <v>2242</v>
      </c>
      <c r="AY20" s="1586">
        <f t="shared" si="5"/>
        <v>0.99955416852429779</v>
      </c>
      <c r="AZ20" s="1587">
        <f t="shared" si="6"/>
        <v>82201</v>
      </c>
      <c r="BA20" s="1587">
        <f t="shared" si="6"/>
        <v>85682</v>
      </c>
      <c r="BB20" s="1587">
        <f t="shared" si="6"/>
        <v>80905</v>
      </c>
      <c r="BC20" s="1588">
        <f t="shared" si="7"/>
        <v>0.9442473331621577</v>
      </c>
      <c r="BD20" s="1587">
        <f t="shared" si="8"/>
        <v>82464</v>
      </c>
      <c r="BE20" s="1587">
        <f t="shared" si="8"/>
        <v>87107</v>
      </c>
      <c r="BF20" s="1587">
        <f t="shared" si="8"/>
        <v>82330</v>
      </c>
      <c r="BG20" s="1588">
        <f t="shared" si="9"/>
        <v>0.94515940165543522</v>
      </c>
      <c r="BH20" s="1568"/>
      <c r="BI20" s="1568"/>
      <c r="BJ20" s="804"/>
      <c r="BK20" s="804"/>
      <c r="BL20" s="804"/>
      <c r="BM20" s="804"/>
      <c r="BN20" s="804"/>
      <c r="BO20" s="804"/>
    </row>
    <row r="21" spans="1:67" ht="57" customHeight="1" x14ac:dyDescent="0.7">
      <c r="A21" s="1584" t="s">
        <v>1224</v>
      </c>
      <c r="B21" s="1585">
        <f>[4]int.bevételek2022!B20</f>
        <v>415</v>
      </c>
      <c r="C21" s="1585">
        <f>'[5]int.bevételek RM III'!D21</f>
        <v>1194</v>
      </c>
      <c r="D21" s="1585">
        <v>1194</v>
      </c>
      <c r="E21" s="1586">
        <f t="shared" si="0"/>
        <v>1</v>
      </c>
      <c r="F21" s="1585">
        <f>[4]int.bevételek2022!C20</f>
        <v>0</v>
      </c>
      <c r="G21" s="1585">
        <f>'[5]int.bevételek RM III'!G21</f>
        <v>0</v>
      </c>
      <c r="H21" s="1585"/>
      <c r="I21" s="1586"/>
      <c r="J21" s="1585">
        <f>[4]int.bevételek2022!D20</f>
        <v>0</v>
      </c>
      <c r="K21" s="1585">
        <f>'[5]int.bevételek RM III'!J21</f>
        <v>0</v>
      </c>
      <c r="L21" s="1585"/>
      <c r="M21" s="1586"/>
      <c r="N21" s="1585">
        <f>[4]int.bevételek2022!E20</f>
        <v>0</v>
      </c>
      <c r="O21" s="1585">
        <f>'[5]int.bevételek RM III'!M21</f>
        <v>0</v>
      </c>
      <c r="P21" s="1585"/>
      <c r="Q21" s="1586"/>
      <c r="R21" s="1587">
        <f t="shared" si="10"/>
        <v>415</v>
      </c>
      <c r="S21" s="1587">
        <f t="shared" si="10"/>
        <v>1194</v>
      </c>
      <c r="T21" s="1587">
        <f t="shared" si="10"/>
        <v>1194</v>
      </c>
      <c r="U21" s="1588">
        <f t="shared" si="1"/>
        <v>1</v>
      </c>
      <c r="V21" s="1584" t="s">
        <v>1224</v>
      </c>
      <c r="W21" s="1585">
        <f>[4]int.bevételek2022!H20</f>
        <v>0</v>
      </c>
      <c r="X21" s="1585">
        <f>'[5]int.bevételek RM III'!T21</f>
        <v>0</v>
      </c>
      <c r="Y21" s="1585"/>
      <c r="Z21" s="1586"/>
      <c r="AA21" s="1585">
        <f>[4]int.bevételek2022!I20</f>
        <v>0</v>
      </c>
      <c r="AB21" s="1585">
        <f>'[5]int.bevételek RM III'!W21</f>
        <v>0</v>
      </c>
      <c r="AC21" s="1585"/>
      <c r="AD21" s="1586"/>
      <c r="AE21" s="1585">
        <f>[4]int.bevételek2022!J20</f>
        <v>0</v>
      </c>
      <c r="AF21" s="1585">
        <f>'[5]int.bevételek RM III'!Z21</f>
        <v>0</v>
      </c>
      <c r="AG21" s="1585"/>
      <c r="AH21" s="1586"/>
      <c r="AI21" s="1587">
        <f t="shared" si="2"/>
        <v>0</v>
      </c>
      <c r="AJ21" s="1587">
        <f t="shared" si="2"/>
        <v>0</v>
      </c>
      <c r="AK21" s="1587">
        <f t="shared" si="2"/>
        <v>0</v>
      </c>
      <c r="AL21" s="1588"/>
      <c r="AM21" s="1585"/>
      <c r="AN21" s="1585">
        <f>'[5]int.bevételek RM III'!AJ21</f>
        <v>1183</v>
      </c>
      <c r="AO21" s="1585">
        <v>1183</v>
      </c>
      <c r="AP21" s="1586">
        <f t="shared" si="3"/>
        <v>1</v>
      </c>
      <c r="AQ21" s="1584" t="s">
        <v>1224</v>
      </c>
      <c r="AR21" s="1585">
        <f>[4]int.bevételek2022!L20</f>
        <v>72388</v>
      </c>
      <c r="AS21" s="1585">
        <f>'[5]int.bevételek RM III'!AM21</f>
        <v>75238</v>
      </c>
      <c r="AT21" s="1585">
        <f>73054-1-981</f>
        <v>72072</v>
      </c>
      <c r="AU21" s="1586">
        <f t="shared" si="4"/>
        <v>0.95792019989898725</v>
      </c>
      <c r="AV21" s="1585">
        <f>[4]int.bevételek2022!M20</f>
        <v>0</v>
      </c>
      <c r="AW21" s="1585">
        <f>'[5]int.bevételek RM III'!AP21</f>
        <v>982</v>
      </c>
      <c r="AX21" s="1585">
        <v>981</v>
      </c>
      <c r="AY21" s="1586">
        <f t="shared" si="5"/>
        <v>0.99898167006109984</v>
      </c>
      <c r="AZ21" s="1587">
        <f t="shared" si="6"/>
        <v>72388</v>
      </c>
      <c r="BA21" s="1587">
        <f t="shared" si="6"/>
        <v>76220</v>
      </c>
      <c r="BB21" s="1587">
        <f t="shared" si="6"/>
        <v>73053</v>
      </c>
      <c r="BC21" s="1588">
        <f t="shared" si="7"/>
        <v>0.95844922592495407</v>
      </c>
      <c r="BD21" s="1587">
        <f t="shared" si="8"/>
        <v>72803</v>
      </c>
      <c r="BE21" s="1587">
        <f t="shared" si="8"/>
        <v>78597</v>
      </c>
      <c r="BF21" s="1587">
        <f t="shared" si="8"/>
        <v>75430</v>
      </c>
      <c r="BG21" s="1588">
        <f t="shared" si="9"/>
        <v>0.95970584118986735</v>
      </c>
      <c r="BH21" s="1568"/>
      <c r="BI21" s="1568"/>
      <c r="BJ21" s="804"/>
      <c r="BK21" s="804"/>
      <c r="BL21" s="804"/>
      <c r="BM21" s="804"/>
      <c r="BN21" s="804"/>
      <c r="BO21" s="804"/>
    </row>
    <row r="22" spans="1:67" ht="57" customHeight="1" x14ac:dyDescent="0.7">
      <c r="A22" s="1584" t="s">
        <v>1225</v>
      </c>
      <c r="B22" s="1585">
        <f>[4]int.bevételek2022!B21</f>
        <v>656</v>
      </c>
      <c r="C22" s="1585">
        <f>'[5]int.bevételek RM III'!D22</f>
        <v>2029</v>
      </c>
      <c r="D22" s="1585">
        <v>2029</v>
      </c>
      <c r="E22" s="1586">
        <f t="shared" si="0"/>
        <v>1</v>
      </c>
      <c r="F22" s="1585">
        <f>[4]int.bevételek2022!C21</f>
        <v>0</v>
      </c>
      <c r="G22" s="1585">
        <f>'[5]int.bevételek RM III'!G22</f>
        <v>0</v>
      </c>
      <c r="H22" s="1585"/>
      <c r="I22" s="1586"/>
      <c r="J22" s="1585">
        <f>[4]int.bevételek2022!D21</f>
        <v>0</v>
      </c>
      <c r="K22" s="1585">
        <f>'[5]int.bevételek RM III'!J22</f>
        <v>0</v>
      </c>
      <c r="L22" s="1585"/>
      <c r="M22" s="1586"/>
      <c r="N22" s="1585">
        <f>[4]int.bevételek2022!E21</f>
        <v>0</v>
      </c>
      <c r="O22" s="1585">
        <f>'[5]int.bevételek RM III'!M22</f>
        <v>0</v>
      </c>
      <c r="P22" s="1585"/>
      <c r="Q22" s="1586"/>
      <c r="R22" s="1587">
        <f t="shared" si="10"/>
        <v>656</v>
      </c>
      <c r="S22" s="1587">
        <f t="shared" si="10"/>
        <v>2029</v>
      </c>
      <c r="T22" s="1587">
        <f t="shared" si="10"/>
        <v>2029</v>
      </c>
      <c r="U22" s="1588">
        <f t="shared" si="1"/>
        <v>1</v>
      </c>
      <c r="V22" s="1584" t="s">
        <v>1225</v>
      </c>
      <c r="W22" s="1585">
        <f>[4]int.bevételek2022!H21</f>
        <v>0</v>
      </c>
      <c r="X22" s="1585">
        <f>'[5]int.bevételek RM III'!T22</f>
        <v>0</v>
      </c>
      <c r="Y22" s="1585"/>
      <c r="Z22" s="1586"/>
      <c r="AA22" s="1585">
        <f>[4]int.bevételek2022!I21</f>
        <v>0</v>
      </c>
      <c r="AB22" s="1585">
        <f>'[5]int.bevételek RM III'!W22</f>
        <v>0</v>
      </c>
      <c r="AC22" s="1585"/>
      <c r="AD22" s="1586"/>
      <c r="AE22" s="1585">
        <f>[4]int.bevételek2022!J21</f>
        <v>0</v>
      </c>
      <c r="AF22" s="1585">
        <f>'[5]int.bevételek RM III'!Z22</f>
        <v>0</v>
      </c>
      <c r="AG22" s="1585"/>
      <c r="AH22" s="1586"/>
      <c r="AI22" s="1587">
        <f t="shared" si="2"/>
        <v>0</v>
      </c>
      <c r="AJ22" s="1587">
        <f t="shared" si="2"/>
        <v>0</v>
      </c>
      <c r="AK22" s="1587">
        <f t="shared" si="2"/>
        <v>0</v>
      </c>
      <c r="AL22" s="1588"/>
      <c r="AM22" s="1585"/>
      <c r="AN22" s="1585">
        <f>'[5]int.bevételek RM III'!AJ22</f>
        <v>1904</v>
      </c>
      <c r="AO22" s="1585">
        <v>1904</v>
      </c>
      <c r="AP22" s="1586">
        <f t="shared" si="3"/>
        <v>1</v>
      </c>
      <c r="AQ22" s="1584" t="s">
        <v>1225</v>
      </c>
      <c r="AR22" s="1585">
        <f>[4]int.bevételek2022!L21</f>
        <v>97877</v>
      </c>
      <c r="AS22" s="1585">
        <f>'[5]int.bevételek RM III'!AM22</f>
        <v>102379</v>
      </c>
      <c r="AT22" s="1585">
        <f>95102-1774</f>
        <v>93328</v>
      </c>
      <c r="AU22" s="1586">
        <f t="shared" si="4"/>
        <v>0.91159319782377246</v>
      </c>
      <c r="AV22" s="1585">
        <f>[4]int.bevételek2022!M21</f>
        <v>0</v>
      </c>
      <c r="AW22" s="1585">
        <f>'[5]int.bevételek RM III'!AP22</f>
        <v>1774</v>
      </c>
      <c r="AX22" s="1585">
        <v>1774</v>
      </c>
      <c r="AY22" s="1586">
        <f t="shared" si="5"/>
        <v>1</v>
      </c>
      <c r="AZ22" s="1587">
        <f t="shared" si="6"/>
        <v>97877</v>
      </c>
      <c r="BA22" s="1587">
        <f t="shared" si="6"/>
        <v>104153</v>
      </c>
      <c r="BB22" s="1587">
        <f t="shared" si="6"/>
        <v>95102</v>
      </c>
      <c r="BC22" s="1588">
        <f t="shared" si="7"/>
        <v>0.91309899858861487</v>
      </c>
      <c r="BD22" s="1587">
        <f t="shared" si="8"/>
        <v>98533</v>
      </c>
      <c r="BE22" s="1587">
        <f t="shared" si="8"/>
        <v>108086</v>
      </c>
      <c r="BF22" s="1587">
        <f t="shared" si="8"/>
        <v>99035</v>
      </c>
      <c r="BG22" s="1588">
        <f t="shared" si="9"/>
        <v>0.91626112540014437</v>
      </c>
      <c r="BH22" s="1568"/>
      <c r="BI22" s="1568"/>
      <c r="BJ22" s="804"/>
      <c r="BK22" s="804"/>
      <c r="BL22" s="804"/>
      <c r="BM22" s="804"/>
      <c r="BN22" s="804"/>
      <c r="BO22" s="804"/>
    </row>
    <row r="23" spans="1:67" ht="57" customHeight="1" x14ac:dyDescent="0.7">
      <c r="A23" s="1584" t="s">
        <v>1226</v>
      </c>
      <c r="B23" s="1585">
        <f>[4]int.bevételek2022!B22</f>
        <v>452</v>
      </c>
      <c r="C23" s="1585">
        <f>'[5]int.bevételek RM III'!D23</f>
        <v>1409</v>
      </c>
      <c r="D23" s="1585">
        <f>1408</f>
        <v>1408</v>
      </c>
      <c r="E23" s="1586">
        <f t="shared" si="0"/>
        <v>0.99929027679205107</v>
      </c>
      <c r="F23" s="1585">
        <f>[4]int.bevételek2022!C22</f>
        <v>0</v>
      </c>
      <c r="G23" s="1585">
        <f>'[5]int.bevételek RM III'!G23</f>
        <v>200</v>
      </c>
      <c r="H23" s="1585">
        <v>200</v>
      </c>
      <c r="I23" s="1586">
        <f>H23/G23</f>
        <v>1</v>
      </c>
      <c r="J23" s="1585">
        <f>[4]int.bevételek2022!D22</f>
        <v>0</v>
      </c>
      <c r="K23" s="1585">
        <f>'[5]int.bevételek RM III'!J23</f>
        <v>0</v>
      </c>
      <c r="L23" s="1585"/>
      <c r="M23" s="1586"/>
      <c r="N23" s="1585">
        <f>[4]int.bevételek2022!E22</f>
        <v>0</v>
      </c>
      <c r="O23" s="1585">
        <f>'[5]int.bevételek RM III'!M23</f>
        <v>0</v>
      </c>
      <c r="P23" s="1585"/>
      <c r="Q23" s="1586"/>
      <c r="R23" s="1587">
        <f t="shared" si="10"/>
        <v>452</v>
      </c>
      <c r="S23" s="1587">
        <f t="shared" si="10"/>
        <v>1609</v>
      </c>
      <c r="T23" s="1587">
        <f t="shared" si="10"/>
        <v>1608</v>
      </c>
      <c r="U23" s="1588">
        <f t="shared" si="1"/>
        <v>0.99937849596022377</v>
      </c>
      <c r="V23" s="1584" t="s">
        <v>1226</v>
      </c>
      <c r="W23" s="1585">
        <f>[4]int.bevételek2022!H22</f>
        <v>0</v>
      </c>
      <c r="X23" s="1585">
        <f>'[5]int.bevételek RM III'!T23</f>
        <v>0</v>
      </c>
      <c r="Y23" s="1585"/>
      <c r="Z23" s="1586"/>
      <c r="AA23" s="1585">
        <f>[4]int.bevételek2022!I22</f>
        <v>0</v>
      </c>
      <c r="AB23" s="1585">
        <f>'[5]int.bevételek RM III'!W23</f>
        <v>0</v>
      </c>
      <c r="AC23" s="1585"/>
      <c r="AD23" s="1586"/>
      <c r="AE23" s="1585">
        <f>[4]int.bevételek2022!J22</f>
        <v>0</v>
      </c>
      <c r="AF23" s="1585">
        <f>'[5]int.bevételek RM III'!Z23</f>
        <v>0</v>
      </c>
      <c r="AG23" s="1585"/>
      <c r="AH23" s="1586"/>
      <c r="AI23" s="1587">
        <f t="shared" si="2"/>
        <v>0</v>
      </c>
      <c r="AJ23" s="1587">
        <f t="shared" si="2"/>
        <v>0</v>
      </c>
      <c r="AK23" s="1587">
        <f t="shared" si="2"/>
        <v>0</v>
      </c>
      <c r="AL23" s="1588"/>
      <c r="AM23" s="1585"/>
      <c r="AN23" s="1585">
        <f>'[5]int.bevételek RM III'!AJ23</f>
        <v>954</v>
      </c>
      <c r="AO23" s="1585">
        <v>954</v>
      </c>
      <c r="AP23" s="1586">
        <f t="shared" si="3"/>
        <v>1</v>
      </c>
      <c r="AQ23" s="1584" t="s">
        <v>1226</v>
      </c>
      <c r="AR23" s="1585">
        <f>[4]int.bevételek2022!L22</f>
        <v>107531</v>
      </c>
      <c r="AS23" s="1585">
        <f>'[5]int.bevételek RM III'!AM23</f>
        <v>108052</v>
      </c>
      <c r="AT23" s="1585">
        <f>103843-4868</f>
        <v>98975</v>
      </c>
      <c r="AU23" s="1586">
        <f t="shared" si="4"/>
        <v>0.91599415096435055</v>
      </c>
      <c r="AV23" s="1585">
        <f>[4]int.bevételek2022!M22</f>
        <v>0</v>
      </c>
      <c r="AW23" s="1585">
        <f>'[5]int.bevételek RM III'!AP23</f>
        <v>4869</v>
      </c>
      <c r="AX23" s="1585">
        <v>4868</v>
      </c>
      <c r="AY23" s="1586">
        <f t="shared" si="5"/>
        <v>0.99979461901827893</v>
      </c>
      <c r="AZ23" s="1587">
        <f t="shared" si="6"/>
        <v>107531</v>
      </c>
      <c r="BA23" s="1587">
        <f t="shared" si="6"/>
        <v>112921</v>
      </c>
      <c r="BB23" s="1587">
        <f t="shared" si="6"/>
        <v>103843</v>
      </c>
      <c r="BC23" s="1588">
        <f t="shared" si="7"/>
        <v>0.91960751321720491</v>
      </c>
      <c r="BD23" s="1587">
        <f t="shared" si="8"/>
        <v>107983</v>
      </c>
      <c r="BE23" s="1587">
        <f t="shared" si="8"/>
        <v>115484</v>
      </c>
      <c r="BF23" s="1587">
        <f t="shared" si="8"/>
        <v>106405</v>
      </c>
      <c r="BG23" s="1588">
        <f t="shared" si="9"/>
        <v>0.92138304873402377</v>
      </c>
      <c r="BH23" s="1568"/>
      <c r="BI23" s="1568"/>
      <c r="BJ23" s="804"/>
      <c r="BK23" s="804"/>
      <c r="BL23" s="804"/>
      <c r="BM23" s="804"/>
      <c r="BN23" s="804"/>
      <c r="BO23" s="804"/>
    </row>
    <row r="24" spans="1:67" ht="57" customHeight="1" x14ac:dyDescent="0.7">
      <c r="A24" s="1584" t="s">
        <v>1227</v>
      </c>
      <c r="B24" s="1585">
        <f>[4]int.bevételek2022!B23</f>
        <v>1063</v>
      </c>
      <c r="C24" s="1585">
        <f>'[5]int.bevételek RM III'!D24</f>
        <v>2323</v>
      </c>
      <c r="D24" s="1585">
        <v>2322</v>
      </c>
      <c r="E24" s="1586">
        <f t="shared" si="0"/>
        <v>0.99956952216960826</v>
      </c>
      <c r="F24" s="1585">
        <f>[4]int.bevételek2022!C23</f>
        <v>0</v>
      </c>
      <c r="G24" s="1585">
        <f>'[5]int.bevételek RM III'!G24</f>
        <v>50</v>
      </c>
      <c r="H24" s="1585">
        <v>50</v>
      </c>
      <c r="I24" s="1586">
        <f>H24/G24</f>
        <v>1</v>
      </c>
      <c r="J24" s="1585">
        <f>[4]int.bevételek2022!D23</f>
        <v>0</v>
      </c>
      <c r="K24" s="1585">
        <f>'[5]int.bevételek RM III'!J24</f>
        <v>0</v>
      </c>
      <c r="L24" s="1585"/>
      <c r="M24" s="1586"/>
      <c r="N24" s="1585">
        <f>[4]int.bevételek2022!E23</f>
        <v>0</v>
      </c>
      <c r="O24" s="1585">
        <f>'[5]int.bevételek RM III'!M24</f>
        <v>0</v>
      </c>
      <c r="P24" s="1585"/>
      <c r="Q24" s="1586"/>
      <c r="R24" s="1587">
        <f t="shared" si="10"/>
        <v>1063</v>
      </c>
      <c r="S24" s="1587">
        <f t="shared" si="10"/>
        <v>2373</v>
      </c>
      <c r="T24" s="1587">
        <f t="shared" si="10"/>
        <v>2372</v>
      </c>
      <c r="U24" s="1588">
        <f t="shared" si="1"/>
        <v>0.99957859249894643</v>
      </c>
      <c r="V24" s="1584" t="s">
        <v>1227</v>
      </c>
      <c r="W24" s="1585">
        <f>[4]int.bevételek2022!H23</f>
        <v>0</v>
      </c>
      <c r="X24" s="1585">
        <f>'[5]int.bevételek RM III'!T24</f>
        <v>0</v>
      </c>
      <c r="Y24" s="1585"/>
      <c r="Z24" s="1586"/>
      <c r="AA24" s="1585">
        <f>[4]int.bevételek2022!I23</f>
        <v>0</v>
      </c>
      <c r="AB24" s="1585">
        <f>'[5]int.bevételek RM III'!W24</f>
        <v>0</v>
      </c>
      <c r="AC24" s="1585"/>
      <c r="AD24" s="1586"/>
      <c r="AE24" s="1585">
        <f>[4]int.bevételek2022!J23</f>
        <v>0</v>
      </c>
      <c r="AF24" s="1585">
        <f>'[5]int.bevételek RM III'!Z24</f>
        <v>0</v>
      </c>
      <c r="AG24" s="1585"/>
      <c r="AH24" s="1586"/>
      <c r="AI24" s="1587">
        <f t="shared" si="2"/>
        <v>0</v>
      </c>
      <c r="AJ24" s="1587">
        <f t="shared" si="2"/>
        <v>0</v>
      </c>
      <c r="AK24" s="1587">
        <f t="shared" si="2"/>
        <v>0</v>
      </c>
      <c r="AL24" s="1588"/>
      <c r="AM24" s="1585"/>
      <c r="AN24" s="1585">
        <f>'[5]int.bevételek RM III'!AJ24</f>
        <v>2991</v>
      </c>
      <c r="AO24" s="1585">
        <v>2991</v>
      </c>
      <c r="AP24" s="1586">
        <f t="shared" si="3"/>
        <v>1</v>
      </c>
      <c r="AQ24" s="1584" t="s">
        <v>1227</v>
      </c>
      <c r="AR24" s="1585">
        <f>[4]int.bevételek2022!L23</f>
        <v>151026</v>
      </c>
      <c r="AS24" s="1585">
        <f>'[5]int.bevételek RM III'!AM24</f>
        <v>155425</v>
      </c>
      <c r="AT24" s="1585">
        <f>149368-398</f>
        <v>148970</v>
      </c>
      <c r="AU24" s="1586">
        <f t="shared" si="4"/>
        <v>0.95846871481421902</v>
      </c>
      <c r="AV24" s="1585">
        <f>[4]int.bevételek2022!M23</f>
        <v>0</v>
      </c>
      <c r="AW24" s="1585">
        <f>'[5]int.bevételek RM III'!AP24</f>
        <v>398</v>
      </c>
      <c r="AX24" s="1585">
        <v>398</v>
      </c>
      <c r="AY24" s="1586">
        <f t="shared" si="5"/>
        <v>1</v>
      </c>
      <c r="AZ24" s="1587">
        <f t="shared" si="6"/>
        <v>151026</v>
      </c>
      <c r="BA24" s="1587">
        <f t="shared" si="6"/>
        <v>155823</v>
      </c>
      <c r="BB24" s="1587">
        <f t="shared" si="6"/>
        <v>149368</v>
      </c>
      <c r="BC24" s="1588">
        <f t="shared" si="7"/>
        <v>0.95857479319484284</v>
      </c>
      <c r="BD24" s="1587">
        <f t="shared" si="8"/>
        <v>152089</v>
      </c>
      <c r="BE24" s="1587">
        <f t="shared" si="8"/>
        <v>161187</v>
      </c>
      <c r="BF24" s="1587">
        <f t="shared" si="8"/>
        <v>154731</v>
      </c>
      <c r="BG24" s="1588">
        <f t="shared" si="9"/>
        <v>0.95994714213925436</v>
      </c>
      <c r="BH24" s="1568"/>
      <c r="BI24" s="1568"/>
      <c r="BJ24" s="804"/>
      <c r="BK24" s="804"/>
      <c r="BL24" s="804"/>
      <c r="BM24" s="804"/>
      <c r="BN24" s="804"/>
      <c r="BO24" s="804"/>
    </row>
    <row r="25" spans="1:67" ht="57" customHeight="1" x14ac:dyDescent="0.7">
      <c r="A25" s="1584" t="s">
        <v>1228</v>
      </c>
      <c r="B25" s="1585">
        <f>[4]int.bevételek2022!B24</f>
        <v>455</v>
      </c>
      <c r="C25" s="1585">
        <f>'[5]int.bevételek RM III'!D25</f>
        <v>687</v>
      </c>
      <c r="D25" s="1585">
        <v>686</v>
      </c>
      <c r="E25" s="1586">
        <f t="shared" si="0"/>
        <v>0.99854439592430855</v>
      </c>
      <c r="F25" s="1585">
        <f>[4]int.bevételek2022!C24</f>
        <v>0</v>
      </c>
      <c r="G25" s="1585">
        <f>'[5]int.bevételek RM III'!G25</f>
        <v>63</v>
      </c>
      <c r="H25" s="1585">
        <v>62</v>
      </c>
      <c r="I25" s="1586">
        <f>H25/G25</f>
        <v>0.98412698412698407</v>
      </c>
      <c r="J25" s="1585">
        <f>[4]int.bevételek2022!D24</f>
        <v>0</v>
      </c>
      <c r="K25" s="1585">
        <f>'[5]int.bevételek RM III'!J25</f>
        <v>0</v>
      </c>
      <c r="L25" s="1585"/>
      <c r="M25" s="1586"/>
      <c r="N25" s="1585">
        <f>[4]int.bevételek2022!E24</f>
        <v>0</v>
      </c>
      <c r="O25" s="1585">
        <f>'[5]int.bevételek RM III'!M25</f>
        <v>0</v>
      </c>
      <c r="P25" s="1585"/>
      <c r="Q25" s="1586"/>
      <c r="R25" s="1587">
        <f t="shared" si="10"/>
        <v>455</v>
      </c>
      <c r="S25" s="1587">
        <f t="shared" si="10"/>
        <v>750</v>
      </c>
      <c r="T25" s="1587">
        <f t="shared" si="10"/>
        <v>748</v>
      </c>
      <c r="U25" s="1588">
        <f t="shared" si="1"/>
        <v>0.99733333333333329</v>
      </c>
      <c r="V25" s="1584" t="s">
        <v>1228</v>
      </c>
      <c r="W25" s="1585">
        <f>[4]int.bevételek2022!H24</f>
        <v>0</v>
      </c>
      <c r="X25" s="1585">
        <f>'[5]int.bevételek RM III'!T25</f>
        <v>0</v>
      </c>
      <c r="Y25" s="1585"/>
      <c r="Z25" s="1586"/>
      <c r="AA25" s="1585">
        <f>[4]int.bevételek2022!I24</f>
        <v>0</v>
      </c>
      <c r="AB25" s="1585">
        <f>'[5]int.bevételek RM III'!W25</f>
        <v>0</v>
      </c>
      <c r="AC25" s="1585"/>
      <c r="AD25" s="1586"/>
      <c r="AE25" s="1585">
        <f>[4]int.bevételek2022!J24</f>
        <v>0</v>
      </c>
      <c r="AF25" s="1585">
        <f>'[5]int.bevételek RM III'!Z25</f>
        <v>0</v>
      </c>
      <c r="AG25" s="1585"/>
      <c r="AH25" s="1586"/>
      <c r="AI25" s="1587">
        <f t="shared" si="2"/>
        <v>0</v>
      </c>
      <c r="AJ25" s="1587">
        <f t="shared" si="2"/>
        <v>0</v>
      </c>
      <c r="AK25" s="1587">
        <f t="shared" si="2"/>
        <v>0</v>
      </c>
      <c r="AL25" s="1588"/>
      <c r="AM25" s="1585"/>
      <c r="AN25" s="1585">
        <f>'[5]int.bevételek RM III'!AJ25</f>
        <v>2519</v>
      </c>
      <c r="AO25" s="1585">
        <v>2519</v>
      </c>
      <c r="AP25" s="1586">
        <f t="shared" si="3"/>
        <v>1</v>
      </c>
      <c r="AQ25" s="1584" t="s">
        <v>1228</v>
      </c>
      <c r="AR25" s="1585">
        <f>[4]int.bevételek2022!L24</f>
        <v>123580</v>
      </c>
      <c r="AS25" s="1585">
        <f>'[5]int.bevételek RM III'!AM25</f>
        <v>121508</v>
      </c>
      <c r="AT25" s="1585">
        <f>121865-7985</f>
        <v>113880</v>
      </c>
      <c r="AU25" s="1586">
        <f t="shared" si="4"/>
        <v>0.93722224051091285</v>
      </c>
      <c r="AV25" s="1585">
        <f>[4]int.bevételek2022!M24</f>
        <v>0</v>
      </c>
      <c r="AW25" s="1585">
        <f>'[5]int.bevételek RM III'!AP25</f>
        <v>7986</v>
      </c>
      <c r="AX25" s="1585">
        <v>7985</v>
      </c>
      <c r="AY25" s="1586">
        <f t="shared" si="5"/>
        <v>0.99987478086651638</v>
      </c>
      <c r="AZ25" s="1587">
        <f t="shared" si="6"/>
        <v>123580</v>
      </c>
      <c r="BA25" s="1587">
        <f t="shared" si="6"/>
        <v>129494</v>
      </c>
      <c r="BB25" s="1587">
        <f t="shared" si="6"/>
        <v>121865</v>
      </c>
      <c r="BC25" s="1588">
        <f t="shared" si="7"/>
        <v>0.94108607348603024</v>
      </c>
      <c r="BD25" s="1587">
        <f t="shared" si="8"/>
        <v>124035</v>
      </c>
      <c r="BE25" s="1587">
        <f t="shared" si="8"/>
        <v>132763</v>
      </c>
      <c r="BF25" s="1587">
        <f t="shared" si="8"/>
        <v>125132</v>
      </c>
      <c r="BG25" s="1588">
        <f t="shared" si="9"/>
        <v>0.9425216362992701</v>
      </c>
      <c r="BH25" s="1568"/>
      <c r="BI25" s="1568"/>
      <c r="BJ25" s="804"/>
      <c r="BK25" s="804"/>
      <c r="BL25" s="804"/>
      <c r="BM25" s="804"/>
      <c r="BN25" s="804"/>
      <c r="BO25" s="804"/>
    </row>
    <row r="26" spans="1:67" ht="57" customHeight="1" x14ac:dyDescent="0.7">
      <c r="A26" s="1584" t="s">
        <v>1229</v>
      </c>
      <c r="B26" s="1585">
        <f>[4]int.bevételek2022!B25</f>
        <v>298</v>
      </c>
      <c r="C26" s="1585">
        <f>'[5]int.bevételek RM III'!D26</f>
        <v>743</v>
      </c>
      <c r="D26" s="1585">
        <v>742</v>
      </c>
      <c r="E26" s="1586">
        <f t="shared" si="0"/>
        <v>0.99865410497981155</v>
      </c>
      <c r="F26" s="1585">
        <f>[4]int.bevételek2022!C25</f>
        <v>0</v>
      </c>
      <c r="G26" s="1585">
        <f>'[5]int.bevételek RM III'!G26</f>
        <v>27</v>
      </c>
      <c r="H26" s="1585">
        <f>26+1</f>
        <v>27</v>
      </c>
      <c r="I26" s="1586">
        <f>H26/G26</f>
        <v>1</v>
      </c>
      <c r="J26" s="1585">
        <f>[4]int.bevételek2022!D25</f>
        <v>0</v>
      </c>
      <c r="K26" s="1585">
        <f>'[5]int.bevételek RM III'!J26</f>
        <v>0</v>
      </c>
      <c r="L26" s="1585"/>
      <c r="M26" s="1586"/>
      <c r="N26" s="1585">
        <f>[4]int.bevételek2022!E25</f>
        <v>0</v>
      </c>
      <c r="O26" s="1585">
        <f>'[5]int.bevételek RM III'!M26</f>
        <v>0</v>
      </c>
      <c r="P26" s="1585"/>
      <c r="Q26" s="1586"/>
      <c r="R26" s="1587">
        <f t="shared" si="10"/>
        <v>298</v>
      </c>
      <c r="S26" s="1587">
        <f t="shared" si="10"/>
        <v>770</v>
      </c>
      <c r="T26" s="1587">
        <f t="shared" si="10"/>
        <v>769</v>
      </c>
      <c r="U26" s="1588">
        <f t="shared" si="1"/>
        <v>0.99870129870129876</v>
      </c>
      <c r="V26" s="1584" t="s">
        <v>1229</v>
      </c>
      <c r="W26" s="1585">
        <f>[4]int.bevételek2022!H25</f>
        <v>0</v>
      </c>
      <c r="X26" s="1585">
        <f>'[5]int.bevételek RM III'!T26</f>
        <v>0</v>
      </c>
      <c r="Y26" s="1585"/>
      <c r="Z26" s="1586"/>
      <c r="AA26" s="1585">
        <f>[4]int.bevételek2022!I25</f>
        <v>0</v>
      </c>
      <c r="AB26" s="1585">
        <f>'[5]int.bevételek RM III'!W26</f>
        <v>0</v>
      </c>
      <c r="AC26" s="1585"/>
      <c r="AD26" s="1586"/>
      <c r="AE26" s="1585">
        <f>[4]int.bevételek2022!J25</f>
        <v>0</v>
      </c>
      <c r="AF26" s="1585">
        <f>'[5]int.bevételek RM III'!Z26</f>
        <v>0</v>
      </c>
      <c r="AG26" s="1585"/>
      <c r="AH26" s="1586"/>
      <c r="AI26" s="1587">
        <f t="shared" si="2"/>
        <v>0</v>
      </c>
      <c r="AJ26" s="1587">
        <f t="shared" si="2"/>
        <v>0</v>
      </c>
      <c r="AK26" s="1587">
        <f t="shared" si="2"/>
        <v>0</v>
      </c>
      <c r="AL26" s="1588"/>
      <c r="AM26" s="1585"/>
      <c r="AN26" s="1585">
        <f>'[5]int.bevételek RM III'!AJ26</f>
        <v>1833</v>
      </c>
      <c r="AO26" s="1585">
        <v>1833</v>
      </c>
      <c r="AP26" s="1586">
        <f t="shared" si="3"/>
        <v>1</v>
      </c>
      <c r="AQ26" s="1584" t="s">
        <v>1229</v>
      </c>
      <c r="AR26" s="1585">
        <f>[4]int.bevételek2022!L25</f>
        <v>87573</v>
      </c>
      <c r="AS26" s="1585">
        <f>'[5]int.bevételek RM III'!AM26</f>
        <v>89330</v>
      </c>
      <c r="AT26" s="1585">
        <f>87771-1-1909</f>
        <v>85861</v>
      </c>
      <c r="AU26" s="1586">
        <f t="shared" si="4"/>
        <v>0.96116646143512818</v>
      </c>
      <c r="AV26" s="1585">
        <f>[4]int.bevételek2022!M25</f>
        <v>0</v>
      </c>
      <c r="AW26" s="1585">
        <f>'[5]int.bevételek RM III'!AP26</f>
        <v>1910</v>
      </c>
      <c r="AX26" s="1585">
        <v>1909</v>
      </c>
      <c r="AY26" s="1586">
        <f t="shared" si="5"/>
        <v>0.99947643979057588</v>
      </c>
      <c r="AZ26" s="1587">
        <f t="shared" si="6"/>
        <v>87573</v>
      </c>
      <c r="BA26" s="1587">
        <f t="shared" si="6"/>
        <v>91240</v>
      </c>
      <c r="BB26" s="1587">
        <f t="shared" si="6"/>
        <v>87770</v>
      </c>
      <c r="BC26" s="1588">
        <f t="shared" si="7"/>
        <v>0.96196843489697503</v>
      </c>
      <c r="BD26" s="1587">
        <f t="shared" si="8"/>
        <v>87871</v>
      </c>
      <c r="BE26" s="1587">
        <f t="shared" si="8"/>
        <v>93843</v>
      </c>
      <c r="BF26" s="1587">
        <f t="shared" si="8"/>
        <v>90372</v>
      </c>
      <c r="BG26" s="1588">
        <f t="shared" si="9"/>
        <v>0.96301269141012114</v>
      </c>
      <c r="BH26" s="1568"/>
      <c r="BI26" s="1568"/>
      <c r="BJ26" s="804"/>
      <c r="BK26" s="804"/>
      <c r="BL26" s="804"/>
      <c r="BM26" s="804"/>
      <c r="BN26" s="804"/>
      <c r="BO26" s="804"/>
    </row>
    <row r="27" spans="1:67" ht="57" customHeight="1" thickBot="1" x14ac:dyDescent="0.75">
      <c r="A27" s="1589" t="s">
        <v>1230</v>
      </c>
      <c r="B27" s="1590">
        <f>[4]int.bevételek2022!B26</f>
        <v>297</v>
      </c>
      <c r="C27" s="1585">
        <f>'[5]int.bevételek RM III'!D27</f>
        <v>1486</v>
      </c>
      <c r="D27" s="1590">
        <v>1485</v>
      </c>
      <c r="E27" s="1591">
        <f t="shared" si="0"/>
        <v>0.99932705248990583</v>
      </c>
      <c r="F27" s="1590">
        <f>[4]int.bevételek2022!C26</f>
        <v>0</v>
      </c>
      <c r="G27" s="1585">
        <f>'[5]int.bevételek RM III'!G27</f>
        <v>0</v>
      </c>
      <c r="H27" s="1590"/>
      <c r="I27" s="1591"/>
      <c r="J27" s="1590">
        <f>[4]int.bevételek2022!D26</f>
        <v>0</v>
      </c>
      <c r="K27" s="1585">
        <f>'[5]int.bevételek RM III'!J27</f>
        <v>0</v>
      </c>
      <c r="L27" s="1590"/>
      <c r="M27" s="1591"/>
      <c r="N27" s="1590">
        <f>[4]int.bevételek2022!E26</f>
        <v>0</v>
      </c>
      <c r="O27" s="1590">
        <f>'[5]int.bevételek RM III'!M27</f>
        <v>0</v>
      </c>
      <c r="P27" s="1585"/>
      <c r="Q27" s="1591"/>
      <c r="R27" s="1587">
        <f t="shared" si="10"/>
        <v>297</v>
      </c>
      <c r="S27" s="1587">
        <f t="shared" si="10"/>
        <v>1486</v>
      </c>
      <c r="T27" s="1587">
        <f t="shared" si="10"/>
        <v>1485</v>
      </c>
      <c r="U27" s="1592">
        <f t="shared" si="1"/>
        <v>0.99932705248990583</v>
      </c>
      <c r="V27" s="1589" t="s">
        <v>1230</v>
      </c>
      <c r="W27" s="1590">
        <f>[4]int.bevételek2022!H26</f>
        <v>0</v>
      </c>
      <c r="X27" s="1590">
        <f>'[5]int.bevételek RM III'!T27</f>
        <v>0</v>
      </c>
      <c r="Y27" s="1590"/>
      <c r="Z27" s="1591"/>
      <c r="AA27" s="1590">
        <f>[4]int.bevételek2022!I26</f>
        <v>0</v>
      </c>
      <c r="AB27" s="1590">
        <f>'[5]int.bevételek RM III'!W27</f>
        <v>0</v>
      </c>
      <c r="AC27" s="1585"/>
      <c r="AD27" s="1591"/>
      <c r="AE27" s="1590">
        <f>[4]int.bevételek2022!J26</f>
        <v>0</v>
      </c>
      <c r="AF27" s="1590">
        <f>'[5]int.bevételek RM III'!Z27</f>
        <v>0</v>
      </c>
      <c r="AG27" s="1590"/>
      <c r="AH27" s="1593"/>
      <c r="AI27" s="1587">
        <f t="shared" si="2"/>
        <v>0</v>
      </c>
      <c r="AJ27" s="1587">
        <f t="shared" si="2"/>
        <v>0</v>
      </c>
      <c r="AK27" s="1587">
        <f t="shared" si="2"/>
        <v>0</v>
      </c>
      <c r="AL27" s="1592"/>
      <c r="AM27" s="1590"/>
      <c r="AN27" s="1585">
        <f>'[5]int.bevételek RM III'!AJ27</f>
        <v>1817</v>
      </c>
      <c r="AO27" s="1590">
        <v>1817</v>
      </c>
      <c r="AP27" s="1591">
        <f t="shared" si="3"/>
        <v>1</v>
      </c>
      <c r="AQ27" s="1589" t="s">
        <v>1230</v>
      </c>
      <c r="AR27" s="1590">
        <f>[4]int.bevételek2022!L26</f>
        <v>70734</v>
      </c>
      <c r="AS27" s="1585">
        <f>'[5]int.bevételek RM III'!AM27</f>
        <v>71070</v>
      </c>
      <c r="AT27" s="1590">
        <f>70896-1129</f>
        <v>69767</v>
      </c>
      <c r="AU27" s="1591">
        <f t="shared" si="4"/>
        <v>0.98166596313493737</v>
      </c>
      <c r="AV27" s="1590">
        <f>[4]int.bevételek2022!M26</f>
        <v>0</v>
      </c>
      <c r="AW27" s="1585">
        <f>'[5]int.bevételek RM III'!AP27</f>
        <v>1130</v>
      </c>
      <c r="AX27" s="1590">
        <v>1129</v>
      </c>
      <c r="AY27" s="1591">
        <f>AX27/AW27</f>
        <v>0.99911504424778763</v>
      </c>
      <c r="AZ27" s="1587">
        <f t="shared" si="6"/>
        <v>70734</v>
      </c>
      <c r="BA27" s="1587">
        <f t="shared" si="6"/>
        <v>72200</v>
      </c>
      <c r="BB27" s="1587">
        <f t="shared" si="6"/>
        <v>70896</v>
      </c>
      <c r="BC27" s="1592">
        <f t="shared" si="7"/>
        <v>0.9819390581717452</v>
      </c>
      <c r="BD27" s="1587">
        <f t="shared" si="8"/>
        <v>71031</v>
      </c>
      <c r="BE27" s="1587">
        <f t="shared" si="8"/>
        <v>75503</v>
      </c>
      <c r="BF27" s="1587">
        <f t="shared" si="8"/>
        <v>74198</v>
      </c>
      <c r="BG27" s="1592">
        <f t="shared" si="9"/>
        <v>0.98271591857277196</v>
      </c>
      <c r="BH27" s="1568"/>
      <c r="BI27" s="1568"/>
      <c r="BJ27" s="804"/>
      <c r="BK27" s="804"/>
      <c r="BL27" s="804"/>
      <c r="BM27" s="804"/>
      <c r="BN27" s="804"/>
      <c r="BO27" s="804"/>
    </row>
    <row r="28" spans="1:67" ht="57" customHeight="1" thickBot="1" x14ac:dyDescent="0.75">
      <c r="A28" s="1594" t="s">
        <v>1231</v>
      </c>
      <c r="B28" s="1595">
        <f>SUM(B10:B27)</f>
        <v>11445</v>
      </c>
      <c r="C28" s="1595">
        <f>SUM(C10:C27)</f>
        <v>27026</v>
      </c>
      <c r="D28" s="1595">
        <f>SUM(D10:D27)</f>
        <v>27019</v>
      </c>
      <c r="E28" s="1596">
        <f t="shared" si="0"/>
        <v>0.99974099015762596</v>
      </c>
      <c r="F28" s="1595">
        <f>SUM(F10:F27)</f>
        <v>0</v>
      </c>
      <c r="G28" s="1595">
        <f>SUM(G10:G27)</f>
        <v>714</v>
      </c>
      <c r="H28" s="1595">
        <f>SUM(H10:H27)</f>
        <v>712</v>
      </c>
      <c r="I28" s="1596">
        <f>H28/G28</f>
        <v>0.99719887955182074</v>
      </c>
      <c r="J28" s="1595">
        <f>SUM(J10:J27)</f>
        <v>0</v>
      </c>
      <c r="K28" s="1595">
        <f>SUM(K10:K27)</f>
        <v>459</v>
      </c>
      <c r="L28" s="1595">
        <f>SUM(L10:L27)</f>
        <v>459</v>
      </c>
      <c r="M28" s="1596">
        <f>L28/K28</f>
        <v>1</v>
      </c>
      <c r="N28" s="1595">
        <f>SUM(N10:N27)</f>
        <v>0</v>
      </c>
      <c r="O28" s="1595">
        <f>SUM(O10:O27)</f>
        <v>0</v>
      </c>
      <c r="P28" s="1595">
        <f>SUM(P10:P27)</f>
        <v>0</v>
      </c>
      <c r="Q28" s="1596"/>
      <c r="R28" s="1595">
        <f>SUM(R10:R27)</f>
        <v>11445</v>
      </c>
      <c r="S28" s="1595">
        <f>SUM(S10:S27)</f>
        <v>28199</v>
      </c>
      <c r="T28" s="1595">
        <f>SUM(T10:T27)</f>
        <v>28190</v>
      </c>
      <c r="U28" s="1596">
        <f t="shared" si="1"/>
        <v>0.99968083974609023</v>
      </c>
      <c r="V28" s="1594" t="s">
        <v>1231</v>
      </c>
      <c r="W28" s="1595">
        <f>SUM(W10:W27)</f>
        <v>0</v>
      </c>
      <c r="X28" s="1595">
        <f>SUM(X10:X27)</f>
        <v>0</v>
      </c>
      <c r="Y28" s="1595">
        <f>SUM(Y10:Y27)</f>
        <v>0</v>
      </c>
      <c r="Z28" s="1596"/>
      <c r="AA28" s="1595">
        <f>SUM(AA10:AA27)</f>
        <v>0</v>
      </c>
      <c r="AB28" s="1595">
        <f>SUM(AB10:AB27)</f>
        <v>0</v>
      </c>
      <c r="AC28" s="1595">
        <f>SUM(AC10:AC27)</f>
        <v>0</v>
      </c>
      <c r="AD28" s="1596"/>
      <c r="AE28" s="1595">
        <f>SUM(AE10:AE27)</f>
        <v>0</v>
      </c>
      <c r="AF28" s="1595">
        <f>SUM(AF10:AF27)</f>
        <v>0</v>
      </c>
      <c r="AG28" s="1595">
        <f>SUM(AG10:AG27)</f>
        <v>0</v>
      </c>
      <c r="AH28" s="1596"/>
      <c r="AI28" s="1595">
        <f>SUM(AI10:AI27)</f>
        <v>0</v>
      </c>
      <c r="AJ28" s="1595">
        <f>SUM(AJ10:AJ27)</f>
        <v>0</v>
      </c>
      <c r="AK28" s="1595">
        <f>SUM(AK10:AK27)</f>
        <v>0</v>
      </c>
      <c r="AL28" s="1596"/>
      <c r="AM28" s="1595">
        <f>SUM(AM10:AM27)</f>
        <v>0</v>
      </c>
      <c r="AN28" s="1595">
        <f>SUM(AN10:AN27)</f>
        <v>39373</v>
      </c>
      <c r="AO28" s="1595">
        <f>SUM(AO10:AO27)</f>
        <v>39373</v>
      </c>
      <c r="AP28" s="1596">
        <f t="shared" si="3"/>
        <v>1</v>
      </c>
      <c r="AQ28" s="1594" t="s">
        <v>1231</v>
      </c>
      <c r="AR28" s="1595">
        <f>SUM(AR10:AR27)</f>
        <v>2088452</v>
      </c>
      <c r="AS28" s="1595">
        <f>SUM(AS10:AS27)</f>
        <v>2118521</v>
      </c>
      <c r="AT28" s="1595">
        <f>SUM(AT10:AT27)</f>
        <v>2012273</v>
      </c>
      <c r="AU28" s="1596">
        <f t="shared" si="4"/>
        <v>0.94984803077241153</v>
      </c>
      <c r="AV28" s="1595">
        <f>SUM(AV10:AV27)</f>
        <v>0</v>
      </c>
      <c r="AW28" s="1595">
        <f>SUM(AW10:AW27)</f>
        <v>53138</v>
      </c>
      <c r="AX28" s="1595">
        <f>SUM(AX10:AX27)</f>
        <v>47933</v>
      </c>
      <c r="AY28" s="1596">
        <f>AX28/AW28</f>
        <v>0.90204749896495917</v>
      </c>
      <c r="AZ28" s="1595">
        <f>SUM(AZ10:AZ27)</f>
        <v>2088452</v>
      </c>
      <c r="BA28" s="1595">
        <f>SUM(BA10:BA27)</f>
        <v>2171659</v>
      </c>
      <c r="BB28" s="1595">
        <f>SUM(BB10:BB27)</f>
        <v>2060206</v>
      </c>
      <c r="BC28" s="1596">
        <f t="shared" si="7"/>
        <v>0.94867840669276349</v>
      </c>
      <c r="BD28" s="1595">
        <f>SUM(BD10:BD27)</f>
        <v>2099897</v>
      </c>
      <c r="BE28" s="1595">
        <f>SUM(BE10:BE27)</f>
        <v>2239231</v>
      </c>
      <c r="BF28" s="1595">
        <f>SUM(BF10:BF27)</f>
        <v>2127769</v>
      </c>
      <c r="BG28" s="1596">
        <f t="shared" si="9"/>
        <v>0.95022308998044414</v>
      </c>
      <c r="BH28" s="1568"/>
      <c r="BI28" s="1568"/>
      <c r="BJ28" s="804"/>
      <c r="BK28" s="804"/>
      <c r="BL28" s="804"/>
      <c r="BM28" s="804"/>
      <c r="BN28" s="804"/>
      <c r="BO28" s="804"/>
    </row>
    <row r="29" spans="1:67" ht="57" customHeight="1" thickBot="1" x14ac:dyDescent="0.75">
      <c r="A29" s="1597" t="s">
        <v>136</v>
      </c>
      <c r="B29" s="1598">
        <f>[4]int.bevételek2022!B28</f>
        <v>396402</v>
      </c>
      <c r="C29" s="1585">
        <f>'[5]int.bevételek RM III'!D29</f>
        <v>427933</v>
      </c>
      <c r="D29" s="1598">
        <v>427932</v>
      </c>
      <c r="E29" s="1599">
        <f t="shared" si="0"/>
        <v>0.99999766318559213</v>
      </c>
      <c r="F29" s="1598">
        <f>[4]int.bevételek2022!C28</f>
        <v>0</v>
      </c>
      <c r="G29" s="1585">
        <f>'[5]int.bevételek RM III'!G29</f>
        <v>4893</v>
      </c>
      <c r="H29" s="1598">
        <v>4892</v>
      </c>
      <c r="I29" s="1599">
        <f>H29/G29</f>
        <v>0.99979562640506847</v>
      </c>
      <c r="J29" s="1598">
        <f>[4]int.bevételek2022!D28</f>
        <v>0</v>
      </c>
      <c r="K29" s="1585">
        <f>'[5]int.bevételek RM III'!J29</f>
        <v>0</v>
      </c>
      <c r="L29" s="1598"/>
      <c r="M29" s="1599"/>
      <c r="N29" s="1598">
        <f>[4]int.bevételek2022!E28</f>
        <v>0</v>
      </c>
      <c r="O29" s="1598">
        <f>'[5]int.bevételek RM III'!M29</f>
        <v>0</v>
      </c>
      <c r="P29" s="1598"/>
      <c r="Q29" s="1599"/>
      <c r="R29" s="1587">
        <f>B29+F29+J29+N29</f>
        <v>396402</v>
      </c>
      <c r="S29" s="1587">
        <f>C29+G29+K29+O29</f>
        <v>432826</v>
      </c>
      <c r="T29" s="1587">
        <f>D29+H29+L29+P29</f>
        <v>432824</v>
      </c>
      <c r="U29" s="1596">
        <f t="shared" si="1"/>
        <v>0.99999537920550063</v>
      </c>
      <c r="V29" s="1597" t="s">
        <v>136</v>
      </c>
      <c r="W29" s="1598">
        <f>[4]int.bevételek2022!H28</f>
        <v>0</v>
      </c>
      <c r="X29" s="1598">
        <f>'[5]int.bevételek RM III'!T29</f>
        <v>85</v>
      </c>
      <c r="Y29" s="1598">
        <v>85</v>
      </c>
      <c r="Z29" s="1599">
        <f>Y29/X29</f>
        <v>1</v>
      </c>
      <c r="AA29" s="1598">
        <f>[4]int.bevételek2022!I28</f>
        <v>0</v>
      </c>
      <c r="AB29" s="1598">
        <f>'[5]int.bevételek RM III'!W29</f>
        <v>0</v>
      </c>
      <c r="AC29" s="1598"/>
      <c r="AD29" s="1599"/>
      <c r="AE29" s="1598">
        <f>[4]int.bevételek2022!J28</f>
        <v>0</v>
      </c>
      <c r="AF29" s="1598">
        <f>'[5]int.bevételek RM III'!Z29</f>
        <v>0</v>
      </c>
      <c r="AG29" s="1598"/>
      <c r="AH29" s="1599"/>
      <c r="AI29" s="1587">
        <f>W29+AA29+AE29</f>
        <v>0</v>
      </c>
      <c r="AJ29" s="1587">
        <f>X29+AB29+AF29</f>
        <v>85</v>
      </c>
      <c r="AK29" s="1587">
        <f>Y29+AC29+AG29</f>
        <v>85</v>
      </c>
      <c r="AL29" s="1596"/>
      <c r="AM29" s="1598"/>
      <c r="AN29" s="1585">
        <f>'[5]int.bevételek RM III'!AJ29</f>
        <v>7221</v>
      </c>
      <c r="AO29" s="1598">
        <v>7221</v>
      </c>
      <c r="AP29" s="1599">
        <f t="shared" si="3"/>
        <v>1</v>
      </c>
      <c r="AQ29" s="1597" t="s">
        <v>136</v>
      </c>
      <c r="AR29" s="1598">
        <f>[4]int.bevételek2022!L28</f>
        <v>1219735</v>
      </c>
      <c r="AS29" s="1585">
        <f>'[5]int.bevételek RM III'!AM29</f>
        <v>1342722</v>
      </c>
      <c r="AT29" s="1598">
        <f>1332817-33933</f>
        <v>1298884</v>
      </c>
      <c r="AU29" s="1599">
        <f t="shared" si="4"/>
        <v>0.96735139515104396</v>
      </c>
      <c r="AV29" s="1598">
        <f>[4]int.bevételek2022!M28</f>
        <v>0</v>
      </c>
      <c r="AW29" s="1585">
        <f>'[5]int.bevételek RM III'!AP29</f>
        <v>64547</v>
      </c>
      <c r="AX29" s="1598">
        <v>33933</v>
      </c>
      <c r="AY29" s="1599">
        <f>AX29/AW29</f>
        <v>0.52570994778998248</v>
      </c>
      <c r="AZ29" s="1587">
        <f>AR29+AV29</f>
        <v>1219735</v>
      </c>
      <c r="BA29" s="1587">
        <f>AS29+AW29</f>
        <v>1407269</v>
      </c>
      <c r="BB29" s="1587">
        <f>AT29+AX29</f>
        <v>1332817</v>
      </c>
      <c r="BC29" s="1596">
        <f t="shared" si="7"/>
        <v>0.94709469191746565</v>
      </c>
      <c r="BD29" s="1587">
        <f>R29+AI29+AM29+AZ29</f>
        <v>1616137</v>
      </c>
      <c r="BE29" s="1587">
        <f>S29+AJ29+AN29+BA29</f>
        <v>1847401</v>
      </c>
      <c r="BF29" s="1587">
        <f>T29+AK29+AO29+BB29</f>
        <v>1772947</v>
      </c>
      <c r="BG29" s="1596">
        <f t="shared" si="9"/>
        <v>0.95969797569666793</v>
      </c>
      <c r="BH29" s="1568"/>
      <c r="BI29" s="1568"/>
      <c r="BJ29" s="804"/>
      <c r="BK29" s="804"/>
      <c r="BL29" s="804"/>
      <c r="BM29" s="804"/>
      <c r="BN29" s="804"/>
      <c r="BO29" s="804"/>
    </row>
    <row r="30" spans="1:67" ht="57" customHeight="1" thickBot="1" x14ac:dyDescent="0.75">
      <c r="A30" s="1594" t="s">
        <v>1232</v>
      </c>
      <c r="B30" s="1595">
        <f>SUM(B28:B29)</f>
        <v>407847</v>
      </c>
      <c r="C30" s="1595">
        <f>SUM(C28:C29)</f>
        <v>454959</v>
      </c>
      <c r="D30" s="1595">
        <f>SUM(D28:D29)</f>
        <v>454951</v>
      </c>
      <c r="E30" s="1600">
        <f t="shared" si="0"/>
        <v>0.99998241599792503</v>
      </c>
      <c r="F30" s="1595">
        <f>SUM(F28:F29)</f>
        <v>0</v>
      </c>
      <c r="G30" s="1595">
        <f>SUM(G28:G29)</f>
        <v>5607</v>
      </c>
      <c r="H30" s="1595">
        <f>SUM(H28:H29)</f>
        <v>5604</v>
      </c>
      <c r="I30" s="1600">
        <f>H30/G30</f>
        <v>0.99946495452113426</v>
      </c>
      <c r="J30" s="1595">
        <f>SUM(J28:J29)</f>
        <v>0</v>
      </c>
      <c r="K30" s="1595">
        <f>SUM(K28:K29)</f>
        <v>459</v>
      </c>
      <c r="L30" s="1595">
        <f>SUM(L28:L29)</f>
        <v>459</v>
      </c>
      <c r="M30" s="1600">
        <f>L30/K30</f>
        <v>1</v>
      </c>
      <c r="N30" s="1595">
        <f>SUM(N28:N29)</f>
        <v>0</v>
      </c>
      <c r="O30" s="1595">
        <f>SUM(O28:O29)</f>
        <v>0</v>
      </c>
      <c r="P30" s="1595">
        <f>SUM(P28:P29)</f>
        <v>0</v>
      </c>
      <c r="Q30" s="1600"/>
      <c r="R30" s="1595">
        <f>SUM(R28:R29)</f>
        <v>407847</v>
      </c>
      <c r="S30" s="1595">
        <f>SUM(S28:S29)</f>
        <v>461025</v>
      </c>
      <c r="T30" s="1595">
        <f>SUM(T28:T29)</f>
        <v>461014</v>
      </c>
      <c r="U30" s="1600">
        <f t="shared" si="1"/>
        <v>0.99997614012255298</v>
      </c>
      <c r="V30" s="1594" t="s">
        <v>1232</v>
      </c>
      <c r="W30" s="1595">
        <f>SUM(W28:W29)</f>
        <v>0</v>
      </c>
      <c r="X30" s="1595">
        <f>SUM(X28:X29)</f>
        <v>85</v>
      </c>
      <c r="Y30" s="1595">
        <f>SUM(Y28:Y29)</f>
        <v>85</v>
      </c>
      <c r="Z30" s="1600"/>
      <c r="AA30" s="1595">
        <f>SUM(AA28:AA29)</f>
        <v>0</v>
      </c>
      <c r="AB30" s="1595">
        <f>SUM(AB28:AB29)</f>
        <v>0</v>
      </c>
      <c r="AC30" s="1595">
        <f>SUM(AC28:AC29)</f>
        <v>0</v>
      </c>
      <c r="AD30" s="1600"/>
      <c r="AE30" s="1595">
        <f>SUM(AE28:AE29)</f>
        <v>0</v>
      </c>
      <c r="AF30" s="1595">
        <f>SUM(AF28:AF29)</f>
        <v>0</v>
      </c>
      <c r="AG30" s="1595">
        <f>SUM(AG28:AG29)</f>
        <v>0</v>
      </c>
      <c r="AH30" s="1596"/>
      <c r="AI30" s="1595">
        <f>AI28+AI29</f>
        <v>0</v>
      </c>
      <c r="AJ30" s="1595">
        <f>AJ28+AJ29</f>
        <v>85</v>
      </c>
      <c r="AK30" s="1595">
        <f>AK28+AK29</f>
        <v>85</v>
      </c>
      <c r="AL30" s="1600"/>
      <c r="AM30" s="1595">
        <f>SUM(AM28:AM29)</f>
        <v>0</v>
      </c>
      <c r="AN30" s="1595">
        <f>SUM(AN28:AN29)</f>
        <v>46594</v>
      </c>
      <c r="AO30" s="1595">
        <f>SUM(AO28:AO29)</f>
        <v>46594</v>
      </c>
      <c r="AP30" s="1600">
        <f t="shared" si="3"/>
        <v>1</v>
      </c>
      <c r="AQ30" s="1594" t="s">
        <v>1232</v>
      </c>
      <c r="AR30" s="1595">
        <f>SUM(AR28:AR29)</f>
        <v>3308187</v>
      </c>
      <c r="AS30" s="1595">
        <f>SUM(AS28:AS29)</f>
        <v>3461243</v>
      </c>
      <c r="AT30" s="1595">
        <f>SUM(AT28:AT29)</f>
        <v>3311157</v>
      </c>
      <c r="AU30" s="1600">
        <f t="shared" si="4"/>
        <v>0.95663812104495405</v>
      </c>
      <c r="AV30" s="1595">
        <f>SUM(AV28:AV29)</f>
        <v>0</v>
      </c>
      <c r="AW30" s="1595">
        <f>SUM(AW28:AW29)</f>
        <v>117685</v>
      </c>
      <c r="AX30" s="1595">
        <f>SUM(AX28:AX29)</f>
        <v>81866</v>
      </c>
      <c r="AY30" s="1600">
        <f>AX30/AW30</f>
        <v>0.69563665717806011</v>
      </c>
      <c r="AZ30" s="1595">
        <f>AZ28+AZ29</f>
        <v>3308187</v>
      </c>
      <c r="BA30" s="1595">
        <f>BA28+BA29</f>
        <v>3578928</v>
      </c>
      <c r="BB30" s="1595">
        <f>BB28+BB29</f>
        <v>3393023</v>
      </c>
      <c r="BC30" s="1600">
        <f t="shared" si="7"/>
        <v>0.94805567477188701</v>
      </c>
      <c r="BD30" s="1595">
        <f>BD28+BD29</f>
        <v>3716034</v>
      </c>
      <c r="BE30" s="1595">
        <f>BE28+BE29</f>
        <v>4086632</v>
      </c>
      <c r="BF30" s="1595">
        <f>BF28+BF29</f>
        <v>3900716</v>
      </c>
      <c r="BG30" s="1600">
        <f t="shared" si="9"/>
        <v>0.95450630250044532</v>
      </c>
      <c r="BH30" s="1568"/>
      <c r="BI30" s="1568"/>
      <c r="BJ30" s="804"/>
      <c r="BK30" s="804"/>
      <c r="BL30" s="804"/>
      <c r="BM30" s="804"/>
      <c r="BN30" s="804"/>
      <c r="BO30" s="804"/>
    </row>
    <row r="31" spans="1:67" ht="57" customHeight="1" x14ac:dyDescent="0.7">
      <c r="A31" s="1601" t="s">
        <v>1233</v>
      </c>
      <c r="B31" s="1602"/>
      <c r="C31" s="1602"/>
      <c r="D31" s="1602"/>
      <c r="E31" s="1602"/>
      <c r="F31" s="1602"/>
      <c r="G31" s="1602"/>
      <c r="H31" s="1602"/>
      <c r="I31" s="1602"/>
      <c r="J31" s="1602"/>
      <c r="K31" s="1602"/>
      <c r="L31" s="1602"/>
      <c r="M31" s="1602"/>
      <c r="N31" s="1602"/>
      <c r="O31" s="1602"/>
      <c r="P31" s="1602"/>
      <c r="Q31" s="1602"/>
      <c r="R31" s="1602"/>
      <c r="S31" s="1602"/>
      <c r="T31" s="1602"/>
      <c r="U31" s="1602"/>
      <c r="V31" s="1601" t="s">
        <v>1233</v>
      </c>
      <c r="W31" s="1602"/>
      <c r="X31" s="1602"/>
      <c r="Y31" s="1602"/>
      <c r="Z31" s="1602"/>
      <c r="AA31" s="1602"/>
      <c r="AB31" s="1602"/>
      <c r="AC31" s="1602"/>
      <c r="AD31" s="1602"/>
      <c r="AE31" s="1602"/>
      <c r="AF31" s="1602"/>
      <c r="AG31" s="1602"/>
      <c r="AH31" s="1602"/>
      <c r="AI31" s="1602"/>
      <c r="AJ31" s="1602"/>
      <c r="AK31" s="1602"/>
      <c r="AL31" s="1602"/>
      <c r="AM31" s="1602"/>
      <c r="AN31" s="1602"/>
      <c r="AO31" s="1602"/>
      <c r="AP31" s="1602"/>
      <c r="AQ31" s="1601" t="s">
        <v>1233</v>
      </c>
      <c r="AR31" s="1602"/>
      <c r="AS31" s="1602"/>
      <c r="AT31" s="1602"/>
      <c r="AU31" s="1602"/>
      <c r="AV31" s="1602"/>
      <c r="AW31" s="1602"/>
      <c r="AX31" s="1602"/>
      <c r="AY31" s="1602"/>
      <c r="AZ31" s="1602"/>
      <c r="BA31" s="1602"/>
      <c r="BB31" s="1602"/>
      <c r="BC31" s="1602"/>
      <c r="BD31" s="1602"/>
      <c r="BE31" s="1602"/>
      <c r="BF31" s="1602"/>
      <c r="BG31" s="1602"/>
      <c r="BH31" s="1568"/>
      <c r="BI31" s="1568"/>
      <c r="BJ31" s="804"/>
      <c r="BK31" s="804"/>
      <c r="BL31" s="804"/>
      <c r="BM31" s="804"/>
      <c r="BN31" s="804"/>
      <c r="BO31" s="804"/>
    </row>
    <row r="32" spans="1:67" ht="57" customHeight="1" x14ac:dyDescent="0.7">
      <c r="A32" s="1603" t="s">
        <v>1234</v>
      </c>
      <c r="B32" s="1602"/>
      <c r="C32" s="1602"/>
      <c r="D32" s="1602"/>
      <c r="E32" s="1602"/>
      <c r="F32" s="1602"/>
      <c r="G32" s="1602"/>
      <c r="H32" s="1602"/>
      <c r="I32" s="1602"/>
      <c r="J32" s="1602"/>
      <c r="K32" s="1602"/>
      <c r="L32" s="1602"/>
      <c r="M32" s="1602"/>
      <c r="N32" s="1602"/>
      <c r="O32" s="1602"/>
      <c r="P32" s="1602"/>
      <c r="Q32" s="1602"/>
      <c r="R32" s="1602"/>
      <c r="S32" s="1602"/>
      <c r="T32" s="1602"/>
      <c r="U32" s="1602"/>
      <c r="V32" s="1603" t="s">
        <v>1234</v>
      </c>
      <c r="W32" s="1602"/>
      <c r="X32" s="1602"/>
      <c r="Y32" s="1602"/>
      <c r="Z32" s="1602"/>
      <c r="AA32" s="1602"/>
      <c r="AB32" s="1602"/>
      <c r="AC32" s="1602"/>
      <c r="AD32" s="1602"/>
      <c r="AE32" s="1602"/>
      <c r="AF32" s="1602"/>
      <c r="AG32" s="1602"/>
      <c r="AH32" s="1602"/>
      <c r="AI32" s="1602"/>
      <c r="AJ32" s="1602"/>
      <c r="AK32" s="1602"/>
      <c r="AL32" s="1602"/>
      <c r="AM32" s="1602"/>
      <c r="AN32" s="1602"/>
      <c r="AO32" s="1602"/>
      <c r="AP32" s="1602"/>
      <c r="AQ32" s="1603" t="s">
        <v>1234</v>
      </c>
      <c r="AR32" s="1602"/>
      <c r="AS32" s="1602"/>
      <c r="AT32" s="1602"/>
      <c r="AU32" s="1602"/>
      <c r="AV32" s="1602"/>
      <c r="AW32" s="1602"/>
      <c r="AX32" s="1602"/>
      <c r="AY32" s="1602"/>
      <c r="AZ32" s="1602"/>
      <c r="BA32" s="1602"/>
      <c r="BB32" s="1602"/>
      <c r="BC32" s="1602"/>
      <c r="BD32" s="1602"/>
      <c r="BE32" s="1602"/>
      <c r="BF32" s="1602"/>
      <c r="BG32" s="1602"/>
      <c r="BH32" s="1568"/>
      <c r="BI32" s="1568"/>
      <c r="BJ32" s="804"/>
      <c r="BK32" s="804"/>
      <c r="BL32" s="804"/>
      <c r="BM32" s="804"/>
      <c r="BN32" s="804"/>
      <c r="BO32" s="804"/>
    </row>
    <row r="33" spans="1:67" ht="57" customHeight="1" x14ac:dyDescent="0.7">
      <c r="A33" s="1604" t="s">
        <v>233</v>
      </c>
      <c r="B33" s="1585">
        <f>[4]int.bevételek2022!B32</f>
        <v>25400</v>
      </c>
      <c r="C33" s="1585">
        <f>'[5]int.bevételek RM III'!D33</f>
        <v>30034</v>
      </c>
      <c r="D33" s="1585">
        <v>30034</v>
      </c>
      <c r="E33" s="1586">
        <f>D33/C33</f>
        <v>1</v>
      </c>
      <c r="F33" s="1585">
        <f>[4]int.bevételek2022!C32</f>
        <v>0</v>
      </c>
      <c r="G33" s="1585">
        <f>'[5]int.bevételek RM III'!G33</f>
        <v>35495</v>
      </c>
      <c r="H33" s="1585">
        <v>35495</v>
      </c>
      <c r="I33" s="1586">
        <f>H33/G33</f>
        <v>1</v>
      </c>
      <c r="J33" s="1585">
        <f>[4]int.bevételek2022!D32</f>
        <v>0</v>
      </c>
      <c r="K33" s="1585">
        <f>'[5]int.bevételek RM III'!J33</f>
        <v>100</v>
      </c>
      <c r="L33" s="1585">
        <v>100</v>
      </c>
      <c r="M33" s="1605">
        <f>L33/K33</f>
        <v>1</v>
      </c>
      <c r="N33" s="1585">
        <f>[4]int.bevételek2022!E32</f>
        <v>0</v>
      </c>
      <c r="O33" s="1585">
        <f>'[5]int.bevételek RM III'!M33</f>
        <v>0</v>
      </c>
      <c r="P33" s="1585"/>
      <c r="Q33" s="1586"/>
      <c r="R33" s="1587">
        <f t="shared" ref="R33:T36" si="11">B33+F33+J33+N33</f>
        <v>25400</v>
      </c>
      <c r="S33" s="1587">
        <f t="shared" si="11"/>
        <v>65629</v>
      </c>
      <c r="T33" s="1587">
        <f t="shared" si="11"/>
        <v>65629</v>
      </c>
      <c r="U33" s="1588">
        <f>T33/S33</f>
        <v>1</v>
      </c>
      <c r="V33" s="1604" t="s">
        <v>233</v>
      </c>
      <c r="W33" s="1585">
        <f>[4]int.bevételek2022!H32</f>
        <v>0</v>
      </c>
      <c r="X33" s="1585">
        <f>'[5]int.bevételek RM III'!T33</f>
        <v>4300</v>
      </c>
      <c r="Y33" s="1585">
        <v>4300</v>
      </c>
      <c r="Z33" s="1586">
        <f>Y33/X33</f>
        <v>1</v>
      </c>
      <c r="AA33" s="1585">
        <f>[4]int.bevételek2022!I32</f>
        <v>0</v>
      </c>
      <c r="AB33" s="1585">
        <f>'[5]int.bevételek RM III'!W33</f>
        <v>7544</v>
      </c>
      <c r="AC33" s="1585">
        <v>7544</v>
      </c>
      <c r="AD33" s="1586">
        <f>AC33/AB33</f>
        <v>1</v>
      </c>
      <c r="AE33" s="1585">
        <f>[4]int.bevételek2022!J32</f>
        <v>0</v>
      </c>
      <c r="AF33" s="1585">
        <f>'[5]int.bevételek RM III'!Z33</f>
        <v>0</v>
      </c>
      <c r="AG33" s="1585"/>
      <c r="AH33" s="1586"/>
      <c r="AI33" s="1587">
        <f t="shared" ref="AI33:AK36" si="12">W33+AA33+AE33</f>
        <v>0</v>
      </c>
      <c r="AJ33" s="1587">
        <f t="shared" si="12"/>
        <v>11844</v>
      </c>
      <c r="AK33" s="1587">
        <f t="shared" si="12"/>
        <v>11844</v>
      </c>
      <c r="AL33" s="1588">
        <f>AK33/AJ33</f>
        <v>1</v>
      </c>
      <c r="AM33" s="1585"/>
      <c r="AN33" s="1585">
        <f>'[5]int.bevételek RM III'!AJ33</f>
        <v>22391</v>
      </c>
      <c r="AO33" s="1585">
        <v>22391</v>
      </c>
      <c r="AP33" s="1586">
        <f>AO33/AN33</f>
        <v>1</v>
      </c>
      <c r="AQ33" s="1604" t="s">
        <v>233</v>
      </c>
      <c r="AR33" s="1585">
        <f>[4]int.bevételek2022!L32</f>
        <v>106595</v>
      </c>
      <c r="AS33" s="1585">
        <f>'[5]int.bevételek RM III'!AM33</f>
        <v>106686</v>
      </c>
      <c r="AT33" s="1585">
        <f>106458-14864</f>
        <v>91594</v>
      </c>
      <c r="AU33" s="1586">
        <f>AT33/AS33</f>
        <v>0.85853813996213191</v>
      </c>
      <c r="AV33" s="1585">
        <f>[4]int.bevételek2022!M32</f>
        <v>0</v>
      </c>
      <c r="AW33" s="1585">
        <f>'[5]int.bevételek RM III'!AP33</f>
        <v>14894</v>
      </c>
      <c r="AX33" s="1585">
        <v>14864</v>
      </c>
      <c r="AY33" s="1586">
        <f>AX33/AW33</f>
        <v>0.99798576608030076</v>
      </c>
      <c r="AZ33" s="1587">
        <f t="shared" ref="AZ33:BB36" si="13">AR33+AV33</f>
        <v>106595</v>
      </c>
      <c r="BA33" s="1587">
        <f t="shared" si="13"/>
        <v>121580</v>
      </c>
      <c r="BB33" s="1587">
        <f t="shared" si="13"/>
        <v>106458</v>
      </c>
      <c r="BC33" s="1588">
        <f>BB33/BA33</f>
        <v>0.87562099029445628</v>
      </c>
      <c r="BD33" s="1587">
        <f t="shared" ref="BD33:BF36" si="14">R33+AI33+AM33+AZ33</f>
        <v>131995</v>
      </c>
      <c r="BE33" s="1587">
        <f t="shared" si="14"/>
        <v>221444</v>
      </c>
      <c r="BF33" s="1587">
        <f t="shared" si="14"/>
        <v>206322</v>
      </c>
      <c r="BG33" s="1588">
        <f>BF33/BE33</f>
        <v>0.93171185491591557</v>
      </c>
      <c r="BH33" s="1568"/>
      <c r="BI33" s="1568"/>
      <c r="BJ33" s="804"/>
      <c r="BK33" s="804"/>
      <c r="BL33" s="804"/>
      <c r="BM33" s="804"/>
      <c r="BN33" s="804"/>
      <c r="BO33" s="804"/>
    </row>
    <row r="34" spans="1:67" ht="57" customHeight="1" x14ac:dyDescent="0.7">
      <c r="A34" s="1606" t="s">
        <v>1235</v>
      </c>
      <c r="B34" s="1607">
        <f>[4]int.bevételek2022!B33</f>
        <v>68788</v>
      </c>
      <c r="C34" s="1585">
        <f>'[5]int.bevételek RM III'!D34</f>
        <v>107825</v>
      </c>
      <c r="D34" s="1607">
        <v>107825</v>
      </c>
      <c r="E34" s="1586">
        <f>D34/C34</f>
        <v>1</v>
      </c>
      <c r="F34" s="1607">
        <f>[4]int.bevételek2022!C33</f>
        <v>0</v>
      </c>
      <c r="G34" s="1585">
        <f>'[5]int.bevételek RM III'!G34</f>
        <v>180478</v>
      </c>
      <c r="H34" s="1607">
        <v>180478</v>
      </c>
      <c r="I34" s="1586">
        <f>H34/G34</f>
        <v>1</v>
      </c>
      <c r="J34" s="1607">
        <f>[4]int.bevételek2022!D33</f>
        <v>0</v>
      </c>
      <c r="K34" s="1585">
        <f>'[5]int.bevételek RM III'!J34</f>
        <v>1000</v>
      </c>
      <c r="L34" s="1607">
        <v>1000</v>
      </c>
      <c r="M34" s="1605">
        <f>L34/K34</f>
        <v>1</v>
      </c>
      <c r="N34" s="1607">
        <f>[4]int.bevételek2022!E33</f>
        <v>0</v>
      </c>
      <c r="O34" s="1607">
        <f>'[5]int.bevételek RM III'!M34</f>
        <v>0</v>
      </c>
      <c r="P34" s="1585"/>
      <c r="Q34" s="1586"/>
      <c r="R34" s="1587">
        <f t="shared" si="11"/>
        <v>68788</v>
      </c>
      <c r="S34" s="1587">
        <f t="shared" si="11"/>
        <v>289303</v>
      </c>
      <c r="T34" s="1587">
        <f t="shared" si="11"/>
        <v>289303</v>
      </c>
      <c r="U34" s="1588">
        <f>T34/S34</f>
        <v>1</v>
      </c>
      <c r="V34" s="1606" t="s">
        <v>1235</v>
      </c>
      <c r="W34" s="1607">
        <f>[4]int.bevételek2022!H33</f>
        <v>0</v>
      </c>
      <c r="X34" s="1607">
        <f>'[5]int.bevételek RM III'!T34</f>
        <v>0</v>
      </c>
      <c r="Y34" s="1607"/>
      <c r="Z34" s="1586"/>
      <c r="AA34" s="1607">
        <f>[4]int.bevételek2022!I33</f>
        <v>0</v>
      </c>
      <c r="AB34" s="1607">
        <f>'[5]int.bevételek RM III'!W34</f>
        <v>13793</v>
      </c>
      <c r="AC34" s="1607">
        <v>13793</v>
      </c>
      <c r="AD34" s="1586">
        <f>AC34/AB34</f>
        <v>1</v>
      </c>
      <c r="AE34" s="1607">
        <f>[4]int.bevételek2022!J33</f>
        <v>0</v>
      </c>
      <c r="AF34" s="1607">
        <f>'[5]int.bevételek RM III'!Z34</f>
        <v>0</v>
      </c>
      <c r="AG34" s="1607"/>
      <c r="AH34" s="1586"/>
      <c r="AI34" s="1587">
        <f t="shared" si="12"/>
        <v>0</v>
      </c>
      <c r="AJ34" s="1587">
        <f t="shared" si="12"/>
        <v>13793</v>
      </c>
      <c r="AK34" s="1587">
        <f t="shared" si="12"/>
        <v>13793</v>
      </c>
      <c r="AL34" s="1588">
        <f>AK34/AJ34</f>
        <v>1</v>
      </c>
      <c r="AM34" s="1607"/>
      <c r="AN34" s="1585">
        <f>'[5]int.bevételek RM III'!AJ34</f>
        <v>188676</v>
      </c>
      <c r="AO34" s="1607">
        <v>188676</v>
      </c>
      <c r="AP34" s="1586">
        <f>AO34/AN34</f>
        <v>1</v>
      </c>
      <c r="AQ34" s="1606" t="s">
        <v>1235</v>
      </c>
      <c r="AR34" s="1607">
        <f>[4]int.bevételek2022!L33</f>
        <v>395262</v>
      </c>
      <c r="AS34" s="1585">
        <f>'[5]int.bevételek RM III'!AM34</f>
        <v>409800</v>
      </c>
      <c r="AT34" s="1607">
        <f>389208</f>
        <v>389208</v>
      </c>
      <c r="AU34" s="1586">
        <f>AT34/AS34</f>
        <v>0.9497510980966325</v>
      </c>
      <c r="AV34" s="1607">
        <f>[4]int.bevételek2022!M33</f>
        <v>0</v>
      </c>
      <c r="AW34" s="1585">
        <f>'[5]int.bevételek RM III'!AP34</f>
        <v>34000</v>
      </c>
      <c r="AX34" s="1607"/>
      <c r="AY34" s="1586">
        <f>AX34/AW34</f>
        <v>0</v>
      </c>
      <c r="AZ34" s="1587">
        <f t="shared" si="13"/>
        <v>395262</v>
      </c>
      <c r="BA34" s="1587">
        <f t="shared" si="13"/>
        <v>443800</v>
      </c>
      <c r="BB34" s="1587">
        <f t="shared" si="13"/>
        <v>389208</v>
      </c>
      <c r="BC34" s="1588">
        <f>BB34/BA34</f>
        <v>0.87698963497070748</v>
      </c>
      <c r="BD34" s="1587">
        <f t="shared" si="14"/>
        <v>464050</v>
      </c>
      <c r="BE34" s="1587">
        <f t="shared" si="14"/>
        <v>935572</v>
      </c>
      <c r="BF34" s="1587">
        <f t="shared" si="14"/>
        <v>880980</v>
      </c>
      <c r="BG34" s="1588">
        <f>BF34/BE34</f>
        <v>0.94164853159350648</v>
      </c>
      <c r="BH34" s="1568"/>
      <c r="BI34" s="1568"/>
      <c r="BJ34" s="804"/>
      <c r="BK34" s="804"/>
      <c r="BL34" s="804"/>
      <c r="BM34" s="804"/>
      <c r="BN34" s="804"/>
      <c r="BO34" s="804"/>
    </row>
    <row r="35" spans="1:67" ht="57" customHeight="1" x14ac:dyDescent="0.7">
      <c r="A35" s="1606" t="s">
        <v>1236</v>
      </c>
      <c r="B35" s="1607">
        <f>[4]int.bevételek2022!B34</f>
        <v>24000</v>
      </c>
      <c r="C35" s="1585">
        <f>'[5]int.bevételek RM III'!D35</f>
        <v>31696</v>
      </c>
      <c r="D35" s="1607">
        <f>31697-1</f>
        <v>31696</v>
      </c>
      <c r="E35" s="1586">
        <f>D35/C35</f>
        <v>1</v>
      </c>
      <c r="F35" s="1607">
        <f>[4]int.bevételek2022!C34</f>
        <v>0</v>
      </c>
      <c r="G35" s="1585">
        <f>'[5]int.bevételek RM III'!G35</f>
        <v>50237</v>
      </c>
      <c r="H35" s="1607">
        <v>50237</v>
      </c>
      <c r="I35" s="1586">
        <f>H35/G35</f>
        <v>1</v>
      </c>
      <c r="J35" s="1607">
        <f>[4]int.bevételek2022!D34</f>
        <v>0</v>
      </c>
      <c r="K35" s="1585">
        <f>'[5]int.bevételek RM III'!J35</f>
        <v>0</v>
      </c>
      <c r="L35" s="1607"/>
      <c r="M35" s="1605"/>
      <c r="N35" s="1607">
        <f>[4]int.bevételek2022!E34</f>
        <v>0</v>
      </c>
      <c r="O35" s="1607">
        <f>'[5]int.bevételek RM III'!M35</f>
        <v>0</v>
      </c>
      <c r="P35" s="1585"/>
      <c r="Q35" s="1586"/>
      <c r="R35" s="1587">
        <f t="shared" si="11"/>
        <v>24000</v>
      </c>
      <c r="S35" s="1587">
        <f t="shared" si="11"/>
        <v>81933</v>
      </c>
      <c r="T35" s="1587">
        <f t="shared" si="11"/>
        <v>81933</v>
      </c>
      <c r="U35" s="1588">
        <f>T35/S35</f>
        <v>1</v>
      </c>
      <c r="V35" s="1606" t="s">
        <v>1236</v>
      </c>
      <c r="W35" s="1607">
        <f>[4]int.bevételek2022!H34</f>
        <v>0</v>
      </c>
      <c r="X35" s="1607">
        <f>'[5]int.bevételek RM III'!T35</f>
        <v>0</v>
      </c>
      <c r="Y35" s="1607"/>
      <c r="Z35" s="1608"/>
      <c r="AA35" s="1607">
        <f>[4]int.bevételek2022!I34</f>
        <v>0</v>
      </c>
      <c r="AB35" s="1607">
        <f>'[5]int.bevételek RM III'!W35</f>
        <v>0</v>
      </c>
      <c r="AC35" s="1607"/>
      <c r="AD35" s="1586"/>
      <c r="AE35" s="1607">
        <f>[4]int.bevételek2022!J34</f>
        <v>0</v>
      </c>
      <c r="AF35" s="1607">
        <f>'[5]int.bevételek RM III'!Z35</f>
        <v>0</v>
      </c>
      <c r="AG35" s="1607"/>
      <c r="AH35" s="1586"/>
      <c r="AI35" s="1587">
        <f t="shared" si="12"/>
        <v>0</v>
      </c>
      <c r="AJ35" s="1587">
        <f t="shared" si="12"/>
        <v>0</v>
      </c>
      <c r="AK35" s="1587">
        <f t="shared" si="12"/>
        <v>0</v>
      </c>
      <c r="AL35" s="1588"/>
      <c r="AM35" s="1607"/>
      <c r="AN35" s="1585">
        <f>'[5]int.bevételek RM III'!AJ35</f>
        <v>30058</v>
      </c>
      <c r="AO35" s="1607">
        <v>30058</v>
      </c>
      <c r="AP35" s="1586">
        <f>AO35/AN35</f>
        <v>1</v>
      </c>
      <c r="AQ35" s="1606" t="s">
        <v>1236</v>
      </c>
      <c r="AR35" s="1607">
        <f>[4]int.bevételek2022!L34</f>
        <v>238263</v>
      </c>
      <c r="AS35" s="1585">
        <f>'[5]int.bevételek RM III'!AM35</f>
        <v>409216</v>
      </c>
      <c r="AT35" s="1607">
        <f>390084-16847</f>
        <v>373237</v>
      </c>
      <c r="AU35" s="1586">
        <f>AT35/AS35</f>
        <v>0.91207821786049426</v>
      </c>
      <c r="AV35" s="1607">
        <f>[4]int.bevételek2022!M34</f>
        <v>0</v>
      </c>
      <c r="AW35" s="1585">
        <f>'[5]int.bevételek RM III'!AP35</f>
        <v>19690</v>
      </c>
      <c r="AX35" s="1607">
        <v>16847</v>
      </c>
      <c r="AY35" s="1586">
        <f>AX35/AW35</f>
        <v>0.85561198577958353</v>
      </c>
      <c r="AZ35" s="1587">
        <f t="shared" si="13"/>
        <v>238263</v>
      </c>
      <c r="BA35" s="1587">
        <f t="shared" si="13"/>
        <v>428906</v>
      </c>
      <c r="BB35" s="1587">
        <f t="shared" si="13"/>
        <v>390084</v>
      </c>
      <c r="BC35" s="1588">
        <f>BB35/BA35</f>
        <v>0.9094859946002154</v>
      </c>
      <c r="BD35" s="1587">
        <f t="shared" si="14"/>
        <v>262263</v>
      </c>
      <c r="BE35" s="1587">
        <f t="shared" si="14"/>
        <v>540897</v>
      </c>
      <c r="BF35" s="1587">
        <f t="shared" si="14"/>
        <v>502075</v>
      </c>
      <c r="BG35" s="1588">
        <f>BF35/BE35</f>
        <v>0.92822663094822122</v>
      </c>
      <c r="BH35" s="1568"/>
      <c r="BI35" s="1568"/>
      <c r="BJ35" s="804"/>
      <c r="BK35" s="804"/>
      <c r="BL35" s="804"/>
      <c r="BM35" s="804"/>
      <c r="BN35" s="804"/>
      <c r="BO35" s="804"/>
    </row>
    <row r="36" spans="1:67" ht="57" customHeight="1" thickBot="1" x14ac:dyDescent="0.75">
      <c r="A36" s="1609" t="s">
        <v>1237</v>
      </c>
      <c r="B36" s="1607">
        <f>[4]int.bevételek2022!B35</f>
        <v>175509</v>
      </c>
      <c r="C36" s="1585">
        <f>'[5]int.bevételek RM III'!D36</f>
        <v>153028</v>
      </c>
      <c r="D36" s="1607">
        <v>153026</v>
      </c>
      <c r="E36" s="1591">
        <f>D36/C36</f>
        <v>0.99998693049637977</v>
      </c>
      <c r="F36" s="1607">
        <f>[4]int.bevételek2022!C35</f>
        <v>14324</v>
      </c>
      <c r="G36" s="1585">
        <f>'[5]int.bevételek RM III'!G36</f>
        <v>203477</v>
      </c>
      <c r="H36" s="1607">
        <v>203477</v>
      </c>
      <c r="I36" s="1591">
        <f>H36/G36</f>
        <v>1</v>
      </c>
      <c r="J36" s="1607">
        <f>[4]int.bevételek2022!D35</f>
        <v>0</v>
      </c>
      <c r="K36" s="1585">
        <f>'[5]int.bevételek RM III'!J36</f>
        <v>371</v>
      </c>
      <c r="L36" s="1610">
        <f>372</f>
        <v>372</v>
      </c>
      <c r="M36" s="1591">
        <f>L36/K36</f>
        <v>1.0026954177897573</v>
      </c>
      <c r="N36" s="1611">
        <f>[4]int.bevételek2022!E35</f>
        <v>0</v>
      </c>
      <c r="O36" s="1611">
        <f>'[5]int.bevételek RM III'!M36</f>
        <v>0</v>
      </c>
      <c r="P36" s="1585"/>
      <c r="Q36" s="1591"/>
      <c r="R36" s="1587">
        <f t="shared" si="11"/>
        <v>189833</v>
      </c>
      <c r="S36" s="1587">
        <f t="shared" si="11"/>
        <v>356876</v>
      </c>
      <c r="T36" s="1587">
        <f t="shared" si="11"/>
        <v>356875</v>
      </c>
      <c r="U36" s="1592">
        <f>T36/S36</f>
        <v>0.99999719790627561</v>
      </c>
      <c r="V36" s="1609" t="s">
        <v>1237</v>
      </c>
      <c r="W36" s="1607">
        <f>[4]int.bevételek2022!H35</f>
        <v>0</v>
      </c>
      <c r="X36" s="1607">
        <f>'[5]int.bevételek RM III'!T36</f>
        <v>0</v>
      </c>
      <c r="Y36" s="1607"/>
      <c r="Z36" s="1591"/>
      <c r="AA36" s="1607">
        <f>[4]int.bevételek2022!I35</f>
        <v>0</v>
      </c>
      <c r="AB36" s="1607">
        <f>'[5]int.bevételek RM III'!W36</f>
        <v>16245</v>
      </c>
      <c r="AC36" s="1607">
        <v>16245</v>
      </c>
      <c r="AD36" s="1591">
        <f>AC36/AB36</f>
        <v>1</v>
      </c>
      <c r="AE36" s="1607">
        <f>[4]int.bevételek2022!J35</f>
        <v>0</v>
      </c>
      <c r="AF36" s="1607">
        <f>'[5]int.bevételek RM III'!Z36</f>
        <v>0</v>
      </c>
      <c r="AG36" s="1607"/>
      <c r="AH36" s="1591"/>
      <c r="AI36" s="1587">
        <f t="shared" si="12"/>
        <v>0</v>
      </c>
      <c r="AJ36" s="1587">
        <f t="shared" si="12"/>
        <v>16245</v>
      </c>
      <c r="AK36" s="1587">
        <f t="shared" si="12"/>
        <v>16245</v>
      </c>
      <c r="AL36" s="1592">
        <f>AK36/AJ36</f>
        <v>1</v>
      </c>
      <c r="AM36" s="1607"/>
      <c r="AN36" s="1585">
        <f>'[5]int.bevételek RM III'!AJ36</f>
        <v>38382</v>
      </c>
      <c r="AO36" s="1607">
        <v>38382</v>
      </c>
      <c r="AP36" s="1591">
        <f>AO36/AN36</f>
        <v>1</v>
      </c>
      <c r="AQ36" s="1609" t="s">
        <v>1237</v>
      </c>
      <c r="AR36" s="1607">
        <f>[4]int.bevételek2022!L35</f>
        <v>393922</v>
      </c>
      <c r="AS36" s="1585">
        <f>'[5]int.bevételek RM III'!AM36</f>
        <v>461678</v>
      </c>
      <c r="AT36" s="1607">
        <f>468925-4053</f>
        <v>464872</v>
      </c>
      <c r="AU36" s="1591">
        <f>AT36/AS36</f>
        <v>1.0069182417182538</v>
      </c>
      <c r="AV36" s="1607">
        <f>[4]int.bevételek2022!M35</f>
        <v>0</v>
      </c>
      <c r="AW36" s="1585">
        <f>'[5]int.bevételek RM III'!AP36</f>
        <v>7247</v>
      </c>
      <c r="AX36" s="1607">
        <v>4053</v>
      </c>
      <c r="AY36" s="1591">
        <f>AX36/AW36</f>
        <v>0.5592659031323306</v>
      </c>
      <c r="AZ36" s="1587">
        <f t="shared" si="13"/>
        <v>393922</v>
      </c>
      <c r="BA36" s="1587">
        <f t="shared" si="13"/>
        <v>468925</v>
      </c>
      <c r="BB36" s="1587">
        <f t="shared" si="13"/>
        <v>468925</v>
      </c>
      <c r="BC36" s="1592">
        <f>BB36/BA36</f>
        <v>1</v>
      </c>
      <c r="BD36" s="1587">
        <f t="shared" si="14"/>
        <v>583755</v>
      </c>
      <c r="BE36" s="1587">
        <f t="shared" si="14"/>
        <v>880428</v>
      </c>
      <c r="BF36" s="1587">
        <f t="shared" si="14"/>
        <v>880427</v>
      </c>
      <c r="BG36" s="1592">
        <f>BF36/BE36</f>
        <v>0.99999886418878092</v>
      </c>
      <c r="BH36" s="1568"/>
      <c r="BI36" s="1568"/>
      <c r="BJ36" s="804"/>
      <c r="BK36" s="804"/>
      <c r="BL36" s="804"/>
      <c r="BM36" s="804"/>
      <c r="BN36" s="804"/>
      <c r="BO36" s="804"/>
    </row>
    <row r="37" spans="1:67" ht="57" customHeight="1" thickBot="1" x14ac:dyDescent="0.75">
      <c r="A37" s="1612" t="s">
        <v>1238</v>
      </c>
      <c r="B37" s="1595">
        <f>SUM(B33:B36)</f>
        <v>293697</v>
      </c>
      <c r="C37" s="1595">
        <f>SUM(C33:C36)</f>
        <v>322583</v>
      </c>
      <c r="D37" s="1595">
        <f>SUM(D33:D36)</f>
        <v>322581</v>
      </c>
      <c r="E37" s="1596">
        <f>D37/C37</f>
        <v>0.99999380004525962</v>
      </c>
      <c r="F37" s="1595">
        <f>SUM(F33:F36)</f>
        <v>14324</v>
      </c>
      <c r="G37" s="1595">
        <f>SUM(G33:G36)</f>
        <v>469687</v>
      </c>
      <c r="H37" s="1595">
        <f>SUM(H33:H36)</f>
        <v>469687</v>
      </c>
      <c r="I37" s="1596">
        <f>H37/G37</f>
        <v>1</v>
      </c>
      <c r="J37" s="1595">
        <f>SUM(J33:J36)</f>
        <v>0</v>
      </c>
      <c r="K37" s="1595">
        <f>SUM(K33:K36)</f>
        <v>1471</v>
      </c>
      <c r="L37" s="1595">
        <f>SUM(L33:L36)</f>
        <v>1472</v>
      </c>
      <c r="M37" s="1596">
        <f>L37/K37</f>
        <v>1.0006798096532972</v>
      </c>
      <c r="N37" s="1595">
        <f>SUM(N33:N36)</f>
        <v>0</v>
      </c>
      <c r="O37" s="1595">
        <f>SUM(O33:O36)</f>
        <v>0</v>
      </c>
      <c r="P37" s="1595">
        <f>SUM(P33:P36)</f>
        <v>0</v>
      </c>
      <c r="Q37" s="1596"/>
      <c r="R37" s="1595">
        <f>SUM(R33:R36)</f>
        <v>308021</v>
      </c>
      <c r="S37" s="1595">
        <f>SUM(S33:S36)</f>
        <v>793741</v>
      </c>
      <c r="T37" s="1595">
        <f>SUM(T33:T36)</f>
        <v>793740</v>
      </c>
      <c r="U37" s="1596">
        <f>T37/S37</f>
        <v>0.99999874014319534</v>
      </c>
      <c r="V37" s="1612" t="s">
        <v>1238</v>
      </c>
      <c r="W37" s="1595">
        <f>SUM(W33:W36)</f>
        <v>0</v>
      </c>
      <c r="X37" s="1595">
        <f>SUM(X33:X36)</f>
        <v>4300</v>
      </c>
      <c r="Y37" s="1595">
        <f>SUM(Y33:Y36)</f>
        <v>4300</v>
      </c>
      <c r="Z37" s="1596">
        <f>Y37/X37</f>
        <v>1</v>
      </c>
      <c r="AA37" s="1595">
        <f>SUM(AA33:AA36)</f>
        <v>0</v>
      </c>
      <c r="AB37" s="1595">
        <f>SUM(AB33:AB36)</f>
        <v>37582</v>
      </c>
      <c r="AC37" s="1595">
        <f>SUM(AC33:AC36)</f>
        <v>37582</v>
      </c>
      <c r="AD37" s="1596">
        <f>AC37/AB37</f>
        <v>1</v>
      </c>
      <c r="AE37" s="1595">
        <f>SUM(AE33:AE36)</f>
        <v>0</v>
      </c>
      <c r="AF37" s="1595">
        <f>SUM(AF33:AF36)</f>
        <v>0</v>
      </c>
      <c r="AG37" s="1595">
        <f>SUM(AG33:AG36)</f>
        <v>0</v>
      </c>
      <c r="AH37" s="1596"/>
      <c r="AI37" s="1595">
        <f>SUM(AI33:AI36)</f>
        <v>0</v>
      </c>
      <c r="AJ37" s="1595">
        <f>SUM(AJ33:AJ36)</f>
        <v>41882</v>
      </c>
      <c r="AK37" s="1595">
        <f>SUM(AK33:AK36)</f>
        <v>41882</v>
      </c>
      <c r="AL37" s="1596">
        <f>AK37/AJ37</f>
        <v>1</v>
      </c>
      <c r="AM37" s="1595">
        <f>SUM(AM33:AM36)</f>
        <v>0</v>
      </c>
      <c r="AN37" s="1595">
        <f>SUM(AN33:AN36)</f>
        <v>279507</v>
      </c>
      <c r="AO37" s="1595">
        <f>SUM(AO33:AO36)</f>
        <v>279507</v>
      </c>
      <c r="AP37" s="1596">
        <f>AO37/AN37</f>
        <v>1</v>
      </c>
      <c r="AQ37" s="1612" t="s">
        <v>1238</v>
      </c>
      <c r="AR37" s="1595">
        <f>SUM(AR33:AR36)</f>
        <v>1134042</v>
      </c>
      <c r="AS37" s="1595">
        <f>SUM(AS33:AS36)</f>
        <v>1387380</v>
      </c>
      <c r="AT37" s="1595">
        <f>SUM(AT33:AT36)</f>
        <v>1318911</v>
      </c>
      <c r="AU37" s="1596">
        <f>AT37/AS37</f>
        <v>0.95064870475284347</v>
      </c>
      <c r="AV37" s="1595">
        <f>SUM(AV33:AV36)</f>
        <v>0</v>
      </c>
      <c r="AW37" s="1595">
        <f>SUM(AW33:AW36)</f>
        <v>75831</v>
      </c>
      <c r="AX37" s="1595">
        <f>SUM(AX33:AX36)</f>
        <v>35764</v>
      </c>
      <c r="AY37" s="1596">
        <f>AX37/AW37</f>
        <v>0.47162769843467711</v>
      </c>
      <c r="AZ37" s="1595">
        <f>SUM(AZ33:AZ36)</f>
        <v>1134042</v>
      </c>
      <c r="BA37" s="1595">
        <f>SUM(BA33:BA36)</f>
        <v>1463211</v>
      </c>
      <c r="BB37" s="1595">
        <f>SUM(BB33:BB36)</f>
        <v>1354675</v>
      </c>
      <c r="BC37" s="1596">
        <f>BB37/BA37</f>
        <v>0.92582341166106596</v>
      </c>
      <c r="BD37" s="1595">
        <f>SUM(BD33:BD36)</f>
        <v>1442063</v>
      </c>
      <c r="BE37" s="1595">
        <f>SUM(BE33:BE36)</f>
        <v>2578341</v>
      </c>
      <c r="BF37" s="1595">
        <f>SUM(BF33:BF36)</f>
        <v>2469804</v>
      </c>
      <c r="BG37" s="1596">
        <f>BF37/BE37</f>
        <v>0.95790432685203397</v>
      </c>
      <c r="BH37" s="1568"/>
      <c r="BI37" s="1568"/>
      <c r="BJ37" s="804"/>
      <c r="BK37" s="804"/>
      <c r="BL37" s="804"/>
      <c r="BM37" s="804"/>
      <c r="BN37" s="804"/>
      <c r="BO37" s="804"/>
    </row>
    <row r="38" spans="1:67" ht="57" customHeight="1" x14ac:dyDescent="0.7">
      <c r="A38" s="1613" t="s">
        <v>1239</v>
      </c>
      <c r="B38" s="1614"/>
      <c r="C38" s="1614"/>
      <c r="D38" s="1614"/>
      <c r="E38" s="1614"/>
      <c r="F38" s="1614"/>
      <c r="G38" s="1614"/>
      <c r="H38" s="1614"/>
      <c r="I38" s="1614"/>
      <c r="J38" s="1614"/>
      <c r="K38" s="1614"/>
      <c r="L38" s="1614"/>
      <c r="M38" s="1614"/>
      <c r="N38" s="1614"/>
      <c r="O38" s="1614"/>
      <c r="P38" s="1614"/>
      <c r="Q38" s="1614"/>
      <c r="R38" s="1614"/>
      <c r="S38" s="1614"/>
      <c r="T38" s="1614"/>
      <c r="U38" s="1614"/>
      <c r="V38" s="1613" t="s">
        <v>1239</v>
      </c>
      <c r="W38" s="1614"/>
      <c r="X38" s="1614"/>
      <c r="Y38" s="1614"/>
      <c r="Z38" s="1614"/>
      <c r="AA38" s="1614"/>
      <c r="AB38" s="1614"/>
      <c r="AC38" s="1614"/>
      <c r="AD38" s="1614"/>
      <c r="AE38" s="1614"/>
      <c r="AF38" s="1614"/>
      <c r="AG38" s="1614"/>
      <c r="AH38" s="1614"/>
      <c r="AI38" s="1614"/>
      <c r="AJ38" s="1614"/>
      <c r="AK38" s="1614"/>
      <c r="AL38" s="1614"/>
      <c r="AM38" s="1614"/>
      <c r="AN38" s="1614"/>
      <c r="AO38" s="1614"/>
      <c r="AP38" s="1614"/>
      <c r="AQ38" s="1613" t="s">
        <v>1239</v>
      </c>
      <c r="AR38" s="1614"/>
      <c r="AS38" s="1614"/>
      <c r="AT38" s="1614"/>
      <c r="AU38" s="1614"/>
      <c r="AV38" s="1614"/>
      <c r="AW38" s="1614"/>
      <c r="AX38" s="1614"/>
      <c r="AY38" s="1614"/>
      <c r="AZ38" s="1614"/>
      <c r="BA38" s="1614"/>
      <c r="BB38" s="1614"/>
      <c r="BC38" s="1614"/>
      <c r="BD38" s="1614"/>
      <c r="BE38" s="1614"/>
      <c r="BF38" s="1614"/>
      <c r="BG38" s="1614"/>
      <c r="BH38" s="1568"/>
      <c r="BI38" s="1568"/>
      <c r="BJ38" s="804"/>
      <c r="BK38" s="804"/>
      <c r="BL38" s="804"/>
      <c r="BM38" s="804"/>
      <c r="BN38" s="804"/>
      <c r="BO38" s="804"/>
    </row>
    <row r="39" spans="1:67" s="817" customFormat="1" ht="114" customHeight="1" thickBot="1" x14ac:dyDescent="0.75">
      <c r="A39" s="1604" t="s">
        <v>1240</v>
      </c>
      <c r="B39" s="1585">
        <f>[4]int.bevételek2022!B38</f>
        <v>107207</v>
      </c>
      <c r="C39" s="1585">
        <f>'[5]int.bevételek RM III'!D39</f>
        <v>148272</v>
      </c>
      <c r="D39" s="1585">
        <v>148273</v>
      </c>
      <c r="E39" s="1615">
        <f>D39/C39</f>
        <v>1.0000067443617136</v>
      </c>
      <c r="F39" s="1585">
        <f>[4]int.bevételek2022!C38</f>
        <v>0</v>
      </c>
      <c r="G39" s="1585">
        <f>'[5]int.bevételek RM III'!G39</f>
        <v>1276</v>
      </c>
      <c r="H39" s="1585">
        <v>1276</v>
      </c>
      <c r="I39" s="1615">
        <f>H39/G39</f>
        <v>1</v>
      </c>
      <c r="J39" s="1585">
        <f>[4]int.bevételek2022!D38</f>
        <v>0</v>
      </c>
      <c r="K39" s="1585">
        <f>'[5]int.bevételek RM III'!J39</f>
        <v>83</v>
      </c>
      <c r="L39" s="1585">
        <v>83</v>
      </c>
      <c r="M39" s="1615">
        <f>L39/K39</f>
        <v>1</v>
      </c>
      <c r="N39" s="1590">
        <f>[4]int.bevételek2022!E38</f>
        <v>0</v>
      </c>
      <c r="O39" s="1590">
        <f>'[5]int.bevételek RM III'!M39</f>
        <v>0</v>
      </c>
      <c r="P39" s="1590"/>
      <c r="Q39" s="1615"/>
      <c r="R39" s="1587">
        <f>B39+F39+J39+N39</f>
        <v>107207</v>
      </c>
      <c r="S39" s="1587">
        <f>C39+G39+K39+O39</f>
        <v>149631</v>
      </c>
      <c r="T39" s="1587">
        <f>D39+H39+L39+P39</f>
        <v>149632</v>
      </c>
      <c r="U39" s="1600">
        <f>T39/S39</f>
        <v>1.0000066831071102</v>
      </c>
      <c r="V39" s="1604" t="s">
        <v>1240</v>
      </c>
      <c r="W39" s="1585">
        <f>[4]int.bevételek2022!H38</f>
        <v>0</v>
      </c>
      <c r="X39" s="1585">
        <f>'[5]int.bevételek RM III'!T39</f>
        <v>0</v>
      </c>
      <c r="Y39" s="1585"/>
      <c r="Z39" s="1615"/>
      <c r="AA39" s="1585">
        <f>[4]int.bevételek2022!I38</f>
        <v>0</v>
      </c>
      <c r="AB39" s="1585">
        <f>'[5]int.bevételek RM III'!W39</f>
        <v>0</v>
      </c>
      <c r="AC39" s="1585"/>
      <c r="AD39" s="1615"/>
      <c r="AE39" s="1585">
        <f>[4]int.bevételek2022!J38</f>
        <v>0</v>
      </c>
      <c r="AF39" s="1585">
        <f>'[5]int.bevételek RM III'!Z39</f>
        <v>0</v>
      </c>
      <c r="AG39" s="1585"/>
      <c r="AH39" s="1615"/>
      <c r="AI39" s="1587">
        <f>W39+AA39+AE39</f>
        <v>0</v>
      </c>
      <c r="AJ39" s="1587">
        <f>X39+AB39+AF39</f>
        <v>0</v>
      </c>
      <c r="AK39" s="1587">
        <f>Y39+AC39+AG39</f>
        <v>0</v>
      </c>
      <c r="AL39" s="1600"/>
      <c r="AM39" s="1585"/>
      <c r="AN39" s="1585">
        <f>'[5]int.bevételek RM III'!AJ39</f>
        <v>125</v>
      </c>
      <c r="AO39" s="1585">
        <v>125</v>
      </c>
      <c r="AP39" s="1615">
        <f>AO39/AN39</f>
        <v>1</v>
      </c>
      <c r="AQ39" s="1604" t="s">
        <v>1240</v>
      </c>
      <c r="AR39" s="1585">
        <f>[4]int.bevételek2022!L38</f>
        <v>899844</v>
      </c>
      <c r="AS39" s="1585">
        <f>'[5]int.bevételek RM III'!AM39</f>
        <v>1165607</v>
      </c>
      <c r="AT39" s="1585">
        <f>1140602-5873</f>
        <v>1134729</v>
      </c>
      <c r="AU39" s="1615">
        <f>AT39/AS39</f>
        <v>0.97350908153434224</v>
      </c>
      <c r="AV39" s="1585">
        <f>[4]int.bevételek2022!M38</f>
        <v>0</v>
      </c>
      <c r="AW39" s="1585">
        <f>'[5]int.bevételek RM III'!AP39</f>
        <v>6078</v>
      </c>
      <c r="AX39" s="1585">
        <v>5873</v>
      </c>
      <c r="AY39" s="1616">
        <f>AX39/AW39</f>
        <v>0.96627179993418888</v>
      </c>
      <c r="AZ39" s="1587">
        <f>AR39+AV39</f>
        <v>899844</v>
      </c>
      <c r="BA39" s="1587">
        <f>AS39+AW39</f>
        <v>1171685</v>
      </c>
      <c r="BB39" s="1587">
        <f>AT39+AX39</f>
        <v>1140602</v>
      </c>
      <c r="BC39" s="1600">
        <f>BB39/BA39</f>
        <v>0.97347153885216586</v>
      </c>
      <c r="BD39" s="1587">
        <f>R39+AI39+AM39+AZ39</f>
        <v>1007051</v>
      </c>
      <c r="BE39" s="1587">
        <f>S39+AJ39+AN39+BA39</f>
        <v>1321441</v>
      </c>
      <c r="BF39" s="1587">
        <f>T39+AK39+AO39+BB39</f>
        <v>1290359</v>
      </c>
      <c r="BG39" s="1600">
        <f>BF39/BE39</f>
        <v>0.9764787077137761</v>
      </c>
      <c r="BH39" s="1568"/>
      <c r="BI39" s="1569"/>
      <c r="BJ39" s="816"/>
      <c r="BK39" s="816"/>
      <c r="BL39" s="816"/>
      <c r="BM39" s="816"/>
      <c r="BN39" s="816"/>
      <c r="BO39" s="816"/>
    </row>
    <row r="40" spans="1:67" ht="57" customHeight="1" x14ac:dyDescent="0.7">
      <c r="A40" s="1613" t="s">
        <v>1241</v>
      </c>
      <c r="B40" s="1614"/>
      <c r="C40" s="1614"/>
      <c r="D40" s="1614"/>
      <c r="E40" s="1592"/>
      <c r="F40" s="1614"/>
      <c r="G40" s="1614"/>
      <c r="H40" s="1614"/>
      <c r="I40" s="1592"/>
      <c r="J40" s="1614"/>
      <c r="K40" s="1614"/>
      <c r="L40" s="1614"/>
      <c r="M40" s="1592"/>
      <c r="N40" s="1614"/>
      <c r="O40" s="1614"/>
      <c r="P40" s="1614"/>
      <c r="Q40" s="1592"/>
      <c r="R40" s="1614"/>
      <c r="S40" s="1614"/>
      <c r="T40" s="1614"/>
      <c r="U40" s="1592"/>
      <c r="V40" s="1613" t="s">
        <v>1241</v>
      </c>
      <c r="W40" s="1614"/>
      <c r="X40" s="1614"/>
      <c r="Y40" s="1614"/>
      <c r="Z40" s="1592"/>
      <c r="AA40" s="1614"/>
      <c r="AB40" s="1614"/>
      <c r="AC40" s="1614"/>
      <c r="AD40" s="1592"/>
      <c r="AE40" s="1614"/>
      <c r="AF40" s="1614"/>
      <c r="AG40" s="1614"/>
      <c r="AH40" s="1592"/>
      <c r="AI40" s="1614"/>
      <c r="AJ40" s="1614"/>
      <c r="AK40" s="1614"/>
      <c r="AL40" s="1592"/>
      <c r="AM40" s="1617"/>
      <c r="AN40" s="1617"/>
      <c r="AO40" s="1617"/>
      <c r="AP40" s="1591"/>
      <c r="AQ40" s="1613" t="s">
        <v>1241</v>
      </c>
      <c r="AR40" s="1617"/>
      <c r="AS40" s="1617"/>
      <c r="AT40" s="1617"/>
      <c r="AU40" s="1591"/>
      <c r="AV40" s="1617"/>
      <c r="AW40" s="1617"/>
      <c r="AX40" s="1617"/>
      <c r="AY40" s="1591"/>
      <c r="AZ40" s="1614"/>
      <c r="BA40" s="1614"/>
      <c r="BB40" s="1614"/>
      <c r="BC40" s="1592"/>
      <c r="BD40" s="1614"/>
      <c r="BE40" s="1614"/>
      <c r="BF40" s="1614"/>
      <c r="BG40" s="1592"/>
      <c r="BH40" s="1568"/>
      <c r="BI40" s="1568"/>
      <c r="BJ40" s="804"/>
      <c r="BK40" s="804"/>
      <c r="BL40" s="804"/>
      <c r="BM40" s="804"/>
      <c r="BN40" s="804"/>
      <c r="BO40" s="804"/>
    </row>
    <row r="41" spans="1:67" ht="57" customHeight="1" thickBot="1" x14ac:dyDescent="0.75">
      <c r="A41" s="1618" t="s">
        <v>1242</v>
      </c>
      <c r="B41" s="1619">
        <f>[4]int.bevételek2022!B40</f>
        <v>40951</v>
      </c>
      <c r="C41" s="1585">
        <f>'[5]int.bevételek RM III'!D41</f>
        <v>38025</v>
      </c>
      <c r="D41" s="1619">
        <v>38025</v>
      </c>
      <c r="E41" s="1615">
        <f>D41/C41</f>
        <v>1</v>
      </c>
      <c r="F41" s="1619">
        <f>[4]int.bevételek2022!C40</f>
        <v>648164</v>
      </c>
      <c r="G41" s="1585">
        <f>'[5]int.bevételek RM III'!G41</f>
        <v>683333</v>
      </c>
      <c r="H41" s="1619">
        <v>683333</v>
      </c>
      <c r="I41" s="1615">
        <f>H41/G41</f>
        <v>1</v>
      </c>
      <c r="J41" s="1619">
        <f>[4]int.bevételek2022!D40</f>
        <v>0</v>
      </c>
      <c r="K41" s="1585">
        <f>'[5]int.bevételek RM III'!J41</f>
        <v>970</v>
      </c>
      <c r="L41" s="1619">
        <v>970</v>
      </c>
      <c r="M41" s="1615">
        <f>L41/K41</f>
        <v>1</v>
      </c>
      <c r="N41" s="1619">
        <f>[4]int.bevételek2022!E40</f>
        <v>0</v>
      </c>
      <c r="O41" s="1619">
        <f>'[5]int.bevételek RM III'!M41</f>
        <v>0</v>
      </c>
      <c r="P41" s="1585"/>
      <c r="Q41" s="1615"/>
      <c r="R41" s="1587">
        <f>B41+F41+J41+N41</f>
        <v>689115</v>
      </c>
      <c r="S41" s="1587">
        <f>C41+G41+K41+O41</f>
        <v>722328</v>
      </c>
      <c r="T41" s="1587">
        <f>D41+H41+L41+P41</f>
        <v>722328</v>
      </c>
      <c r="U41" s="1600">
        <f>T41/S41</f>
        <v>1</v>
      </c>
      <c r="V41" s="1620" t="s">
        <v>1242</v>
      </c>
      <c r="W41" s="1619">
        <f>[4]int.bevételek2022!H40</f>
        <v>0</v>
      </c>
      <c r="X41" s="1619">
        <f>'[5]int.bevételek RM III'!T41</f>
        <v>141</v>
      </c>
      <c r="Y41" s="1619">
        <f>142-1</f>
        <v>141</v>
      </c>
      <c r="Z41" s="1615">
        <f>Y41/X41</f>
        <v>1</v>
      </c>
      <c r="AA41" s="1619">
        <f>[4]int.bevételek2022!I40</f>
        <v>2655</v>
      </c>
      <c r="AB41" s="1619">
        <f>'[5]int.bevételek RM III'!W41</f>
        <v>3695</v>
      </c>
      <c r="AC41" s="1619">
        <v>3695</v>
      </c>
      <c r="AD41" s="1615">
        <f>AC41/AB41</f>
        <v>1</v>
      </c>
      <c r="AE41" s="1619">
        <f>[4]int.bevételek2022!J40</f>
        <v>0</v>
      </c>
      <c r="AF41" s="1619">
        <f>'[5]int.bevételek RM III'!Z41</f>
        <v>0</v>
      </c>
      <c r="AG41" s="1619"/>
      <c r="AH41" s="1615"/>
      <c r="AI41" s="1587">
        <f>W41+AA41+AE41</f>
        <v>2655</v>
      </c>
      <c r="AJ41" s="1587">
        <f>X41+AB41+AF41</f>
        <v>3836</v>
      </c>
      <c r="AK41" s="1587">
        <f>Y41+AC41+AG41</f>
        <v>3836</v>
      </c>
      <c r="AL41" s="1600">
        <f>AK41/AJ41</f>
        <v>1</v>
      </c>
      <c r="AM41" s="1619"/>
      <c r="AN41" s="1585">
        <f>'[5]int.bevételek RM III'!AJ41</f>
        <v>70242</v>
      </c>
      <c r="AO41" s="1619">
        <v>70242</v>
      </c>
      <c r="AP41" s="1615">
        <f>AO41/AN41</f>
        <v>1</v>
      </c>
      <c r="AQ41" s="1620" t="s">
        <v>1242</v>
      </c>
      <c r="AR41" s="1619">
        <f>[4]int.bevételek2022!L40</f>
        <v>446177</v>
      </c>
      <c r="AS41" s="1585">
        <f>'[5]int.bevételek RM III'!AM41</f>
        <v>499862</v>
      </c>
      <c r="AT41" s="1619">
        <f>426292-31560</f>
        <v>394732</v>
      </c>
      <c r="AU41" s="1615">
        <f>AT41/AS41</f>
        <v>0.78968195221881243</v>
      </c>
      <c r="AV41" s="1619">
        <f>[4]int.bevételek2022!M40</f>
        <v>1778</v>
      </c>
      <c r="AW41" s="1585">
        <f>'[5]int.bevételek RM III'!AP41</f>
        <v>38372</v>
      </c>
      <c r="AX41" s="1619">
        <v>31560</v>
      </c>
      <c r="AY41" s="1615">
        <f>AX41/AW41</f>
        <v>0.82247472115083919</v>
      </c>
      <c r="AZ41" s="1587">
        <f>AR41+AV41</f>
        <v>447955</v>
      </c>
      <c r="BA41" s="1587">
        <f>AS41+AW41</f>
        <v>538234</v>
      </c>
      <c r="BB41" s="1587">
        <f>AT41+AX41</f>
        <v>426292</v>
      </c>
      <c r="BC41" s="1600">
        <f>BB41/BA41</f>
        <v>0.79201982780723623</v>
      </c>
      <c r="BD41" s="1587">
        <f>R41+AI41+AM41+AZ41</f>
        <v>1139725</v>
      </c>
      <c r="BE41" s="1587">
        <f>S41+AJ41+AN41+BA41</f>
        <v>1334640</v>
      </c>
      <c r="BF41" s="1587">
        <f>T41+AK41+AO41+BB41</f>
        <v>1222698</v>
      </c>
      <c r="BG41" s="1600">
        <f>BF41/BE41</f>
        <v>0.9161256968171192</v>
      </c>
      <c r="BH41" s="1568"/>
      <c r="BI41" s="1568"/>
      <c r="BJ41" s="804"/>
      <c r="BK41" s="804"/>
      <c r="BL41" s="804"/>
      <c r="BM41" s="804"/>
      <c r="BN41" s="804"/>
      <c r="BO41" s="804"/>
    </row>
    <row r="42" spans="1:67" ht="57" customHeight="1" x14ac:dyDescent="0.7">
      <c r="A42" s="1613" t="s">
        <v>1243</v>
      </c>
      <c r="B42" s="1614"/>
      <c r="C42" s="1614"/>
      <c r="D42" s="1614"/>
      <c r="E42" s="1592"/>
      <c r="F42" s="1614"/>
      <c r="G42" s="1614"/>
      <c r="H42" s="1614"/>
      <c r="I42" s="1592"/>
      <c r="J42" s="1614"/>
      <c r="K42" s="1614"/>
      <c r="L42" s="1614"/>
      <c r="M42" s="1592"/>
      <c r="N42" s="1614"/>
      <c r="O42" s="1614"/>
      <c r="P42" s="1614"/>
      <c r="Q42" s="1592"/>
      <c r="R42" s="1614"/>
      <c r="S42" s="1614"/>
      <c r="T42" s="1614"/>
      <c r="U42" s="1592"/>
      <c r="V42" s="1613" t="s">
        <v>1243</v>
      </c>
      <c r="W42" s="1614"/>
      <c r="X42" s="1614"/>
      <c r="Y42" s="1614"/>
      <c r="Z42" s="1592"/>
      <c r="AA42" s="1614"/>
      <c r="AB42" s="1614"/>
      <c r="AC42" s="1614"/>
      <c r="AD42" s="1592"/>
      <c r="AE42" s="1614"/>
      <c r="AF42" s="1614"/>
      <c r="AG42" s="1614"/>
      <c r="AH42" s="1592"/>
      <c r="AI42" s="1614"/>
      <c r="AJ42" s="1614"/>
      <c r="AK42" s="1614"/>
      <c r="AL42" s="1592"/>
      <c r="AM42" s="1617"/>
      <c r="AN42" s="1617"/>
      <c r="AO42" s="1617"/>
      <c r="AP42" s="1591"/>
      <c r="AQ42" s="1613" t="s">
        <v>1243</v>
      </c>
      <c r="AR42" s="1617"/>
      <c r="AS42" s="1617"/>
      <c r="AT42" s="1617"/>
      <c r="AU42" s="1591"/>
      <c r="AV42" s="1617"/>
      <c r="AW42" s="1617"/>
      <c r="AX42" s="1617"/>
      <c r="AY42" s="1591"/>
      <c r="AZ42" s="1614"/>
      <c r="BA42" s="1614"/>
      <c r="BB42" s="1614"/>
      <c r="BC42" s="1592"/>
      <c r="BD42" s="1614"/>
      <c r="BE42" s="1614"/>
      <c r="BF42" s="1614"/>
      <c r="BG42" s="1592"/>
      <c r="BH42" s="1568"/>
      <c r="BI42" s="1568"/>
      <c r="BJ42" s="804"/>
      <c r="BK42" s="804"/>
      <c r="BL42" s="804"/>
      <c r="BM42" s="804"/>
      <c r="BN42" s="804"/>
      <c r="BO42" s="804"/>
    </row>
    <row r="43" spans="1:67" ht="47.25" thickBot="1" x14ac:dyDescent="0.75">
      <c r="A43" s="1621" t="s">
        <v>1244</v>
      </c>
      <c r="B43" s="1590">
        <f>[4]int.bevételek2022!B42</f>
        <v>61606</v>
      </c>
      <c r="C43" s="1585">
        <f>'[5]int.bevételek RM III'!D43</f>
        <v>70730</v>
      </c>
      <c r="D43" s="1590">
        <v>70730</v>
      </c>
      <c r="E43" s="1586">
        <f>D43/C43</f>
        <v>1</v>
      </c>
      <c r="F43" s="1590">
        <f>[4]int.bevételek2022!C42</f>
        <v>0</v>
      </c>
      <c r="G43" s="1585">
        <f>'[5]int.bevételek RM III'!G43</f>
        <v>13423</v>
      </c>
      <c r="H43" s="1590">
        <v>13423</v>
      </c>
      <c r="I43" s="1586">
        <f>H43/G43</f>
        <v>1</v>
      </c>
      <c r="J43" s="1590">
        <f>[4]int.bevételek2022!D42</f>
        <v>0</v>
      </c>
      <c r="K43" s="1585">
        <f>'[5]int.bevételek RM III'!J43</f>
        <v>0</v>
      </c>
      <c r="L43" s="1585"/>
      <c r="M43" s="1586"/>
      <c r="N43" s="1622">
        <f>[4]int.bevételek2022!E42</f>
        <v>0</v>
      </c>
      <c r="O43" s="1585">
        <f>'[5]int.bevételek RM III'!M43</f>
        <v>0</v>
      </c>
      <c r="P43" s="1585"/>
      <c r="Q43" s="1586"/>
      <c r="R43" s="1587">
        <f>B43+F43+J43+N43</f>
        <v>61606</v>
      </c>
      <c r="S43" s="1587">
        <f>C43+G43+K43+O43</f>
        <v>84153</v>
      </c>
      <c r="T43" s="1587">
        <f>D43+H43+L43+P43</f>
        <v>84153</v>
      </c>
      <c r="U43" s="1588">
        <f>T43/S43</f>
        <v>1</v>
      </c>
      <c r="V43" s="1621" t="s">
        <v>1244</v>
      </c>
      <c r="W43" s="1590">
        <f>[4]int.bevételek2022!H42</f>
        <v>0</v>
      </c>
      <c r="X43" s="1590">
        <f>'[5]int.bevételek RM III'!T43</f>
        <v>2</v>
      </c>
      <c r="Y43" s="1590">
        <v>2</v>
      </c>
      <c r="Z43" s="1615">
        <f>Y43/X43</f>
        <v>1</v>
      </c>
      <c r="AA43" s="1590">
        <f>[4]int.bevételek2022!I42</f>
        <v>0</v>
      </c>
      <c r="AB43" s="1590">
        <f>'[5]int.bevételek RM III'!W43</f>
        <v>0</v>
      </c>
      <c r="AC43" s="1590"/>
      <c r="AD43" s="1586"/>
      <c r="AE43" s="1590">
        <f>[4]int.bevételek2022!J42</f>
        <v>0</v>
      </c>
      <c r="AF43" s="1590">
        <f>'[5]int.bevételek RM III'!Z43</f>
        <v>0</v>
      </c>
      <c r="AG43" s="1590"/>
      <c r="AH43" s="1586"/>
      <c r="AI43" s="1587">
        <f>W43+AA43+AE43</f>
        <v>0</v>
      </c>
      <c r="AJ43" s="1587">
        <f>X43+AB43+AF43</f>
        <v>2</v>
      </c>
      <c r="AK43" s="1587">
        <f>Y43+AC43+AG43</f>
        <v>2</v>
      </c>
      <c r="AL43" s="1588">
        <f>AK43/AJ43</f>
        <v>1</v>
      </c>
      <c r="AM43" s="1590"/>
      <c r="AN43" s="1585">
        <f>'[5]int.bevételek RM III'!AJ43</f>
        <v>1024</v>
      </c>
      <c r="AO43" s="1590">
        <v>1024</v>
      </c>
      <c r="AP43" s="1586">
        <f>AO43/AN43</f>
        <v>1</v>
      </c>
      <c r="AQ43" s="1621" t="s">
        <v>1244</v>
      </c>
      <c r="AR43" s="1590">
        <f>[4]int.bevételek2022!L42</f>
        <v>1109545</v>
      </c>
      <c r="AS43" s="1585">
        <f>'[5]int.bevételek RM III'!AM43</f>
        <v>1138432</v>
      </c>
      <c r="AT43" s="1590">
        <f>1160261-29500</f>
        <v>1130761</v>
      </c>
      <c r="AU43" s="1586">
        <f>AT43/AS43</f>
        <v>0.99326178463008774</v>
      </c>
      <c r="AV43" s="1590">
        <f>[4]int.bevételek2022!M42</f>
        <v>0</v>
      </c>
      <c r="AW43" s="1585">
        <f>'[5]int.bevételek RM III'!AP43</f>
        <v>38519</v>
      </c>
      <c r="AX43" s="1590">
        <v>29500</v>
      </c>
      <c r="AY43" s="1615">
        <f>AX43/AW43</f>
        <v>0.76585581141774184</v>
      </c>
      <c r="AZ43" s="1587">
        <f>AR43+AV43</f>
        <v>1109545</v>
      </c>
      <c r="BA43" s="1587">
        <f>AS43+AW43</f>
        <v>1176951</v>
      </c>
      <c r="BB43" s="1587">
        <f>AT43+AX43</f>
        <v>1160261</v>
      </c>
      <c r="BC43" s="1588">
        <f>BB43/BA43</f>
        <v>0.98581929069264562</v>
      </c>
      <c r="BD43" s="1587">
        <f>R43+AI43+AM43+AZ43</f>
        <v>1171151</v>
      </c>
      <c r="BE43" s="1587">
        <f>S43+AJ43+AN43+BA43</f>
        <v>1262130</v>
      </c>
      <c r="BF43" s="1587">
        <f>T43+AK43+AO43+BB43</f>
        <v>1245440</v>
      </c>
      <c r="BG43" s="1588">
        <f>BF43/BE43</f>
        <v>0.98677632256582126</v>
      </c>
      <c r="BH43" s="1568"/>
      <c r="BI43" s="1568"/>
      <c r="BJ43" s="804"/>
      <c r="BK43" s="804"/>
      <c r="BL43" s="804"/>
      <c r="BM43" s="804"/>
      <c r="BN43" s="804"/>
      <c r="BO43" s="804"/>
    </row>
    <row r="44" spans="1:67" ht="57" customHeight="1" x14ac:dyDescent="0.7">
      <c r="A44" s="1613" t="s">
        <v>1245</v>
      </c>
      <c r="B44" s="1614"/>
      <c r="C44" s="1614"/>
      <c r="D44" s="1614"/>
      <c r="E44" s="1614"/>
      <c r="F44" s="1614"/>
      <c r="G44" s="1614"/>
      <c r="H44" s="1614"/>
      <c r="I44" s="1592"/>
      <c r="J44" s="1614"/>
      <c r="K44" s="1614"/>
      <c r="L44" s="1614"/>
      <c r="M44" s="1614"/>
      <c r="N44" s="1614"/>
      <c r="O44" s="1614"/>
      <c r="P44" s="1614"/>
      <c r="Q44" s="1614"/>
      <c r="R44" s="1614"/>
      <c r="S44" s="1614"/>
      <c r="T44" s="1614"/>
      <c r="U44" s="1614"/>
      <c r="V44" s="1613" t="s">
        <v>1245</v>
      </c>
      <c r="W44" s="1614"/>
      <c r="X44" s="1614"/>
      <c r="Y44" s="1614"/>
      <c r="Z44" s="1592"/>
      <c r="AA44" s="1614"/>
      <c r="AB44" s="1614"/>
      <c r="AC44" s="1614"/>
      <c r="AD44" s="1614"/>
      <c r="AE44" s="1614"/>
      <c r="AF44" s="1614"/>
      <c r="AG44" s="1614"/>
      <c r="AH44" s="1614"/>
      <c r="AI44" s="1614"/>
      <c r="AJ44" s="1614"/>
      <c r="AK44" s="1614"/>
      <c r="AL44" s="1614"/>
      <c r="AM44" s="1614"/>
      <c r="AN44" s="1614"/>
      <c r="AO44" s="1614"/>
      <c r="AP44" s="1614"/>
      <c r="AQ44" s="1613" t="s">
        <v>1245</v>
      </c>
      <c r="AR44" s="1617"/>
      <c r="AS44" s="1617"/>
      <c r="AT44" s="1617"/>
      <c r="AU44" s="1617"/>
      <c r="AV44" s="1617"/>
      <c r="AW44" s="1617"/>
      <c r="AX44" s="1617"/>
      <c r="AY44" s="1591"/>
      <c r="AZ44" s="1614"/>
      <c r="BA44" s="1614"/>
      <c r="BB44" s="1614"/>
      <c r="BC44" s="1614"/>
      <c r="BD44" s="1614"/>
      <c r="BE44" s="1614"/>
      <c r="BF44" s="1614"/>
      <c r="BG44" s="1614"/>
      <c r="BH44" s="1568"/>
      <c r="BI44" s="1568"/>
      <c r="BJ44" s="804"/>
      <c r="BK44" s="804"/>
      <c r="BL44" s="804"/>
      <c r="BM44" s="804"/>
      <c r="BN44" s="804"/>
      <c r="BO44" s="804"/>
    </row>
    <row r="45" spans="1:67" ht="57" customHeight="1" x14ac:dyDescent="0.7">
      <c r="A45" s="1623" t="s">
        <v>1246</v>
      </c>
      <c r="B45" s="1585">
        <f>[4]int.bevételek2022!B44</f>
        <v>146450</v>
      </c>
      <c r="C45" s="1585">
        <f>'[5]int.bevételek RM III'!D45</f>
        <v>153738</v>
      </c>
      <c r="D45" s="1585">
        <v>153738</v>
      </c>
      <c r="E45" s="1586">
        <f>D45/C45</f>
        <v>1</v>
      </c>
      <c r="F45" s="1585">
        <f>[4]int.bevételek2022!C44</f>
        <v>0</v>
      </c>
      <c r="G45" s="1585">
        <f>'[5]int.bevételek RM III'!G45</f>
        <v>0</v>
      </c>
      <c r="H45" s="1585"/>
      <c r="I45" s="1586"/>
      <c r="J45" s="1585">
        <f>[4]int.bevételek2022!D44</f>
        <v>0</v>
      </c>
      <c r="K45" s="1585">
        <f>'[5]int.bevételek RM III'!J45</f>
        <v>0</v>
      </c>
      <c r="L45" s="1585"/>
      <c r="M45" s="1586"/>
      <c r="N45" s="1585">
        <f>[4]int.bevételek2022!E44</f>
        <v>0</v>
      </c>
      <c r="O45" s="1585">
        <f>'[5]int.bevételek RM III'!M45</f>
        <v>0</v>
      </c>
      <c r="P45" s="1585"/>
      <c r="Q45" s="1586"/>
      <c r="R45" s="1587">
        <f t="shared" ref="R45:T46" si="15">B45+F45+J45+N45</f>
        <v>146450</v>
      </c>
      <c r="S45" s="1587">
        <f t="shared" si="15"/>
        <v>153738</v>
      </c>
      <c r="T45" s="1587">
        <f t="shared" si="15"/>
        <v>153738</v>
      </c>
      <c r="U45" s="1588">
        <f>T45/S45</f>
        <v>1</v>
      </c>
      <c r="V45" s="1623" t="s">
        <v>1246</v>
      </c>
      <c r="W45" s="1585">
        <f>[4]int.bevételek2022!H44</f>
        <v>0</v>
      </c>
      <c r="X45" s="1585">
        <f>'[5]int.bevételek RM III'!T45</f>
        <v>62</v>
      </c>
      <c r="Y45" s="1585">
        <v>62</v>
      </c>
      <c r="Z45" s="1586">
        <f>Y45/X45</f>
        <v>1</v>
      </c>
      <c r="AA45" s="1585">
        <f>[4]int.bevételek2022!I44</f>
        <v>0</v>
      </c>
      <c r="AB45" s="1585">
        <f>'[5]int.bevételek RM III'!W45</f>
        <v>0</v>
      </c>
      <c r="AC45" s="1585"/>
      <c r="AD45" s="1586"/>
      <c r="AE45" s="1585">
        <f>[4]int.bevételek2022!J44</f>
        <v>0</v>
      </c>
      <c r="AF45" s="1585">
        <f>'[5]int.bevételek RM III'!Z45</f>
        <v>0</v>
      </c>
      <c r="AG45" s="1585"/>
      <c r="AH45" s="1586"/>
      <c r="AI45" s="1587">
        <f t="shared" ref="AI45:AK46" si="16">W45+AA45+AE45</f>
        <v>0</v>
      </c>
      <c r="AJ45" s="1587">
        <f t="shared" si="16"/>
        <v>62</v>
      </c>
      <c r="AK45" s="1587">
        <f t="shared" si="16"/>
        <v>62</v>
      </c>
      <c r="AL45" s="1588">
        <f>AK45/AJ45</f>
        <v>1</v>
      </c>
      <c r="AM45" s="1585"/>
      <c r="AN45" s="1585">
        <f>'[5]int.bevételek RM III'!AJ45</f>
        <v>28618</v>
      </c>
      <c r="AO45" s="1585">
        <v>28618</v>
      </c>
      <c r="AP45" s="1586">
        <f>AO45/AN45</f>
        <v>1</v>
      </c>
      <c r="AQ45" s="1623" t="s">
        <v>1246</v>
      </c>
      <c r="AR45" s="1585">
        <f>[4]int.bevételek2022!L44</f>
        <v>0</v>
      </c>
      <c r="AS45" s="1585">
        <f>'[5]int.bevételek RM III'!AM45</f>
        <v>1753</v>
      </c>
      <c r="AT45" s="1585">
        <f>6651-4898</f>
        <v>1753</v>
      </c>
      <c r="AU45" s="1586">
        <f>AT45/AS45</f>
        <v>1</v>
      </c>
      <c r="AV45" s="1585">
        <f>[4]int.bevételek2022!M44</f>
        <v>0</v>
      </c>
      <c r="AW45" s="1585">
        <f>'[5]int.bevételek RM III'!AP45</f>
        <v>4898</v>
      </c>
      <c r="AX45" s="1585">
        <v>4898</v>
      </c>
      <c r="AY45" s="1586">
        <f>AX45/AW45</f>
        <v>1</v>
      </c>
      <c r="AZ45" s="1587">
        <f t="shared" ref="AZ45:BB46" si="17">AR45+AV45</f>
        <v>0</v>
      </c>
      <c r="BA45" s="1587">
        <f t="shared" si="17"/>
        <v>6651</v>
      </c>
      <c r="BB45" s="1587">
        <f t="shared" si="17"/>
        <v>6651</v>
      </c>
      <c r="BC45" s="1588">
        <f>BB45/BA45</f>
        <v>1</v>
      </c>
      <c r="BD45" s="1587">
        <f t="shared" ref="BD45:BF46" si="18">R45+AI45+AM45+AZ45</f>
        <v>146450</v>
      </c>
      <c r="BE45" s="1587">
        <f t="shared" si="18"/>
        <v>189069</v>
      </c>
      <c r="BF45" s="1587">
        <f t="shared" si="18"/>
        <v>189069</v>
      </c>
      <c r="BG45" s="1588">
        <f>BF45/BE45</f>
        <v>1</v>
      </c>
      <c r="BH45" s="1568"/>
      <c r="BI45" s="1569"/>
      <c r="BJ45" s="804"/>
      <c r="BK45" s="804"/>
      <c r="BL45" s="804"/>
      <c r="BM45" s="804"/>
      <c r="BN45" s="804"/>
      <c r="BO45" s="804"/>
    </row>
    <row r="46" spans="1:67" s="817" customFormat="1" ht="57" customHeight="1" thickBot="1" x14ac:dyDescent="0.75">
      <c r="A46" s="1624" t="s">
        <v>46</v>
      </c>
      <c r="B46" s="1625">
        <f>[4]int.bevételek2022!B45</f>
        <v>14150</v>
      </c>
      <c r="C46" s="1625">
        <f>'[5]int.bevételek RM III'!D46</f>
        <v>16998</v>
      </c>
      <c r="D46" s="1625">
        <v>16997</v>
      </c>
      <c r="E46" s="1593">
        <f>D46/C46</f>
        <v>0.99994116954935874</v>
      </c>
      <c r="F46" s="1625">
        <f>[4]int.bevételek2022!C45</f>
        <v>0</v>
      </c>
      <c r="G46" s="1625">
        <f>'[5]int.bevételek RM III'!G46</f>
        <v>53168</v>
      </c>
      <c r="H46" s="1625">
        <v>53168</v>
      </c>
      <c r="I46" s="1593">
        <f>H46/G46</f>
        <v>1</v>
      </c>
      <c r="J46" s="1625">
        <f>[4]int.bevételek2022!D45</f>
        <v>0</v>
      </c>
      <c r="K46" s="1625">
        <f>'[5]int.bevételek RM III'!J46</f>
        <v>0</v>
      </c>
      <c r="L46" s="1625"/>
      <c r="M46" s="1593"/>
      <c r="N46" s="1625">
        <f>[4]int.bevételek2022!E45</f>
        <v>1850</v>
      </c>
      <c r="O46" s="1625">
        <f>'[5]int.bevételek RM III'!M46</f>
        <v>1850</v>
      </c>
      <c r="P46" s="1625">
        <v>1462</v>
      </c>
      <c r="Q46" s="1593">
        <f>P46/O46</f>
        <v>0.7902702702702703</v>
      </c>
      <c r="R46" s="1626">
        <f t="shared" si="15"/>
        <v>16000</v>
      </c>
      <c r="S46" s="1626">
        <f t="shared" si="15"/>
        <v>72016</v>
      </c>
      <c r="T46" s="1626">
        <f t="shared" si="15"/>
        <v>71627</v>
      </c>
      <c r="U46" s="1627">
        <f>T46/S46</f>
        <v>0.99459842257276165</v>
      </c>
      <c r="V46" s="1624" t="s">
        <v>46</v>
      </c>
      <c r="W46" s="1625">
        <f>[4]int.bevételek2022!H45</f>
        <v>0</v>
      </c>
      <c r="X46" s="1625">
        <f>'[5]int.bevételek RM III'!T46</f>
        <v>789</v>
      </c>
      <c r="Y46" s="1625">
        <v>789</v>
      </c>
      <c r="Z46" s="1593">
        <f>Y46/X46</f>
        <v>1</v>
      </c>
      <c r="AA46" s="1625">
        <f>[4]int.bevételek2022!I45</f>
        <v>0</v>
      </c>
      <c r="AB46" s="1625">
        <f>'[5]int.bevételek RM III'!W46</f>
        <v>0</v>
      </c>
      <c r="AC46" s="1625"/>
      <c r="AD46" s="1593"/>
      <c r="AE46" s="1625">
        <f>[4]int.bevételek2022!J45</f>
        <v>0</v>
      </c>
      <c r="AF46" s="1625">
        <f>'[5]int.bevételek RM III'!Z46</f>
        <v>0</v>
      </c>
      <c r="AG46" s="1625"/>
      <c r="AH46" s="1593"/>
      <c r="AI46" s="1626">
        <f t="shared" si="16"/>
        <v>0</v>
      </c>
      <c r="AJ46" s="1626">
        <f t="shared" si="16"/>
        <v>789</v>
      </c>
      <c r="AK46" s="1626">
        <f t="shared" si="16"/>
        <v>789</v>
      </c>
      <c r="AL46" s="1627">
        <f>AK46/AJ46</f>
        <v>1</v>
      </c>
      <c r="AM46" s="1625"/>
      <c r="AN46" s="1625">
        <f>'[5]int.bevételek RM III'!AJ46</f>
        <v>61210</v>
      </c>
      <c r="AO46" s="1625">
        <v>61210</v>
      </c>
      <c r="AP46" s="1593">
        <f>AO46/AN46</f>
        <v>1</v>
      </c>
      <c r="AQ46" s="1624" t="s">
        <v>46</v>
      </c>
      <c r="AR46" s="1625">
        <f>[4]int.bevételek2022!L45</f>
        <v>2250042</v>
      </c>
      <c r="AS46" s="1625">
        <f>'[5]int.bevételek RM III'!AM46</f>
        <v>2378938</v>
      </c>
      <c r="AT46" s="1625">
        <f>2240059-96841</f>
        <v>2143218</v>
      </c>
      <c r="AU46" s="1593">
        <f>AT46/AS46</f>
        <v>0.90091376908519682</v>
      </c>
      <c r="AV46" s="1625">
        <f>[4]int.bevételek2022!M45</f>
        <v>88490</v>
      </c>
      <c r="AW46" s="1625">
        <f>'[5]int.bevételek RM III'!AP46</f>
        <v>112477</v>
      </c>
      <c r="AX46" s="1625">
        <v>96841</v>
      </c>
      <c r="AY46" s="1628">
        <f>AX46/AW46</f>
        <v>0.86098491247099407</v>
      </c>
      <c r="AZ46" s="1626">
        <f t="shared" si="17"/>
        <v>2338532</v>
      </c>
      <c r="BA46" s="1626">
        <f t="shared" si="17"/>
        <v>2491415</v>
      </c>
      <c r="BB46" s="1626">
        <f t="shared" si="17"/>
        <v>2240059</v>
      </c>
      <c r="BC46" s="1627">
        <f>BB46/BA46</f>
        <v>0.89911114768113698</v>
      </c>
      <c r="BD46" s="1626">
        <f t="shared" si="18"/>
        <v>2354532</v>
      </c>
      <c r="BE46" s="1626">
        <f t="shared" si="18"/>
        <v>2625430</v>
      </c>
      <c r="BF46" s="1626">
        <f t="shared" si="18"/>
        <v>2373685</v>
      </c>
      <c r="BG46" s="1627">
        <f>BF46/BE46</f>
        <v>0.90411285008550979</v>
      </c>
      <c r="BH46" s="1568"/>
      <c r="BI46" s="1569"/>
      <c r="BJ46" s="816"/>
      <c r="BK46" s="816"/>
      <c r="BL46" s="816"/>
      <c r="BM46" s="816"/>
      <c r="BN46" s="816"/>
      <c r="BO46" s="816"/>
    </row>
    <row r="47" spans="1:67" ht="57" customHeight="1" thickBot="1" x14ac:dyDescent="0.75">
      <c r="A47" s="1629" t="s">
        <v>1247</v>
      </c>
      <c r="B47" s="1630">
        <f>SUM(B45:B46)</f>
        <v>160600</v>
      </c>
      <c r="C47" s="1630">
        <f>SUM(C45:C46)</f>
        <v>170736</v>
      </c>
      <c r="D47" s="1630">
        <f>SUM(D45:D46)</f>
        <v>170735</v>
      </c>
      <c r="E47" s="1600">
        <f>D47/C47</f>
        <v>0.99999414300440448</v>
      </c>
      <c r="F47" s="1630">
        <f>SUM(F45:F46)</f>
        <v>0</v>
      </c>
      <c r="G47" s="1630">
        <f>SUM(G45:G46)</f>
        <v>53168</v>
      </c>
      <c r="H47" s="1630">
        <f>SUM(H45:H46)</f>
        <v>53168</v>
      </c>
      <c r="I47" s="1600">
        <f>H47/G47</f>
        <v>1</v>
      </c>
      <c r="J47" s="1630">
        <f>SUM(J45:J46)</f>
        <v>0</v>
      </c>
      <c r="K47" s="1630">
        <f>SUM(K45:K46)</f>
        <v>0</v>
      </c>
      <c r="L47" s="1630">
        <f>SUM(L45:L46)</f>
        <v>0</v>
      </c>
      <c r="M47" s="1600"/>
      <c r="N47" s="1630">
        <f>SUM(N45:N46)</f>
        <v>1850</v>
      </c>
      <c r="O47" s="1630">
        <f>SUM(O45:O46)</f>
        <v>1850</v>
      </c>
      <c r="P47" s="1630">
        <f>SUM(P45:P46)</f>
        <v>1462</v>
      </c>
      <c r="Q47" s="1600">
        <f>P47/O47</f>
        <v>0.7902702702702703</v>
      </c>
      <c r="R47" s="1630">
        <f>SUM(R45:R46)</f>
        <v>162450</v>
      </c>
      <c r="S47" s="1630">
        <f>SUM(S45:S46)</f>
        <v>225754</v>
      </c>
      <c r="T47" s="1630">
        <f>SUM(T45:T46)</f>
        <v>225365</v>
      </c>
      <c r="U47" s="1600">
        <f>T47/S47</f>
        <v>0.99827688545939386</v>
      </c>
      <c r="V47" s="1629" t="s">
        <v>1247</v>
      </c>
      <c r="W47" s="1630">
        <f>SUM(W45:W46)</f>
        <v>0</v>
      </c>
      <c r="X47" s="1630">
        <f>SUM(X45:X46)</f>
        <v>851</v>
      </c>
      <c r="Y47" s="1630">
        <f>SUM(Y45:Y46)</f>
        <v>851</v>
      </c>
      <c r="Z47" s="1600">
        <f>Y47/X47</f>
        <v>1</v>
      </c>
      <c r="AA47" s="1630">
        <f>SUM(AA45:AA46)</f>
        <v>0</v>
      </c>
      <c r="AB47" s="1630">
        <f>SUM(AB45:AB46)</f>
        <v>0</v>
      </c>
      <c r="AC47" s="1630">
        <f>SUM(AC45:AC46)</f>
        <v>0</v>
      </c>
      <c r="AD47" s="1600"/>
      <c r="AE47" s="1630">
        <f>SUM(AE45:AE46)</f>
        <v>0</v>
      </c>
      <c r="AF47" s="1630">
        <f>SUM(AF45:AF46)</f>
        <v>0</v>
      </c>
      <c r="AG47" s="1630">
        <f>SUM(AG45:AG46)</f>
        <v>0</v>
      </c>
      <c r="AH47" s="1600"/>
      <c r="AI47" s="1630">
        <f>SUM(AI45:AI46)</f>
        <v>0</v>
      </c>
      <c r="AJ47" s="1630">
        <f>SUM(AJ45:AJ46)</f>
        <v>851</v>
      </c>
      <c r="AK47" s="1630">
        <f>SUM(AK45:AK46)</f>
        <v>851</v>
      </c>
      <c r="AL47" s="1600">
        <f>AK47/AJ47</f>
        <v>1</v>
      </c>
      <c r="AM47" s="1630">
        <f>SUM(AM45:AM46)</f>
        <v>0</v>
      </c>
      <c r="AN47" s="1630">
        <f>SUM(AN45:AN46)</f>
        <v>89828</v>
      </c>
      <c r="AO47" s="1630">
        <f>SUM(AO45:AO46)</f>
        <v>89828</v>
      </c>
      <c r="AP47" s="1600">
        <f>AO47/AN47</f>
        <v>1</v>
      </c>
      <c r="AQ47" s="1629" t="s">
        <v>1247</v>
      </c>
      <c r="AR47" s="1630">
        <f>SUM(AR45:AR46)</f>
        <v>2250042</v>
      </c>
      <c r="AS47" s="1630">
        <f>SUM(AS45:AS46)</f>
        <v>2380691</v>
      </c>
      <c r="AT47" s="1630">
        <f>SUM(AT45:AT46)</f>
        <v>2144971</v>
      </c>
      <c r="AU47" s="1600">
        <f>AT47/AS47</f>
        <v>0.90098673032325494</v>
      </c>
      <c r="AV47" s="1630">
        <f>SUM(AV45:AV46)</f>
        <v>88490</v>
      </c>
      <c r="AW47" s="1630">
        <f>SUM(AW45:AW46)</f>
        <v>117375</v>
      </c>
      <c r="AX47" s="1630">
        <f>SUM(AX45:AX46)</f>
        <v>101739</v>
      </c>
      <c r="AY47" s="1600">
        <f>AX47/AW47</f>
        <v>0.8667859424920128</v>
      </c>
      <c r="AZ47" s="1630">
        <f>SUM(AZ45:AZ46)</f>
        <v>2338532</v>
      </c>
      <c r="BA47" s="1630">
        <f>SUM(BA45:BA46)</f>
        <v>2498066</v>
      </c>
      <c r="BB47" s="1630">
        <f>SUM(BB45:BB46)</f>
        <v>2246710</v>
      </c>
      <c r="BC47" s="1600">
        <f>BB47/BA47</f>
        <v>0.89937976018247712</v>
      </c>
      <c r="BD47" s="1630">
        <f>SUM(BD45:BD46)</f>
        <v>2500982</v>
      </c>
      <c r="BE47" s="1630">
        <f>SUM(BE45:BE46)</f>
        <v>2814499</v>
      </c>
      <c r="BF47" s="1630">
        <f>SUM(BF45:BF46)</f>
        <v>2562754</v>
      </c>
      <c r="BG47" s="1600">
        <f>BF47/BE47</f>
        <v>0.91055424073698377</v>
      </c>
      <c r="BH47" s="1568"/>
      <c r="BI47" s="1568"/>
      <c r="BJ47" s="804"/>
      <c r="BK47" s="804"/>
      <c r="BL47" s="804"/>
      <c r="BM47" s="804"/>
      <c r="BN47" s="804"/>
      <c r="BO47" s="804"/>
    </row>
    <row r="48" spans="1:67" ht="57" customHeight="1" thickBot="1" x14ac:dyDescent="0.75">
      <c r="A48" s="1629" t="s">
        <v>1248</v>
      </c>
      <c r="B48" s="1626">
        <f>B37+B39+B41+B43+B47</f>
        <v>664061</v>
      </c>
      <c r="C48" s="1626">
        <f>C37+C39+C41+C43+C47</f>
        <v>750346</v>
      </c>
      <c r="D48" s="1626">
        <f>D37+D39+D41+D43+D47</f>
        <v>750344</v>
      </c>
      <c r="E48" s="1596">
        <f>D48/C48</f>
        <v>0.99999733456298823</v>
      </c>
      <c r="F48" s="1626">
        <f>F37+F39+F41+F43+F47</f>
        <v>662488</v>
      </c>
      <c r="G48" s="1626">
        <f>G37+G39+G41+G43+G47</f>
        <v>1220887</v>
      </c>
      <c r="H48" s="1626">
        <f>H37+H39+H41+H43+H47</f>
        <v>1220887</v>
      </c>
      <c r="I48" s="1596">
        <f>H48/G48</f>
        <v>1</v>
      </c>
      <c r="J48" s="1626">
        <f>J37+J39+J41+J43+J47</f>
        <v>0</v>
      </c>
      <c r="K48" s="1626">
        <f>K37+K39+K41+K43+K47</f>
        <v>2524</v>
      </c>
      <c r="L48" s="1626">
        <f>L37+L39+L41+L43+L47</f>
        <v>2525</v>
      </c>
      <c r="M48" s="1596">
        <f>L48/K48</f>
        <v>1.0003961965134707</v>
      </c>
      <c r="N48" s="1626">
        <f>N37+N39+N41+N43+N47</f>
        <v>1850</v>
      </c>
      <c r="O48" s="1626">
        <f>O37+O39+O41+O43+O47</f>
        <v>1850</v>
      </c>
      <c r="P48" s="1626">
        <f>P37+P39+P41+P43+P47</f>
        <v>1462</v>
      </c>
      <c r="Q48" s="1596">
        <f>P48/O48</f>
        <v>0.7902702702702703</v>
      </c>
      <c r="R48" s="1626">
        <f>R37+R39+R41+R43+R47</f>
        <v>1328399</v>
      </c>
      <c r="S48" s="1626">
        <f>S37+S39+S41+S43+S47</f>
        <v>1975607</v>
      </c>
      <c r="T48" s="1626">
        <f>T37+T39+T41+T43+T47</f>
        <v>1975218</v>
      </c>
      <c r="U48" s="1596">
        <f>T48/S48</f>
        <v>0.99980309849074234</v>
      </c>
      <c r="V48" s="1629" t="s">
        <v>1248</v>
      </c>
      <c r="W48" s="1626">
        <f>W37+W39+W41+W43+W47</f>
        <v>0</v>
      </c>
      <c r="X48" s="1626">
        <f>X37+X39+X41+X43+X47</f>
        <v>5294</v>
      </c>
      <c r="Y48" s="1626">
        <f>Y37+Y39+Y41+Y43+Y47</f>
        <v>5294</v>
      </c>
      <c r="Z48" s="1596">
        <f>Y48/X48</f>
        <v>1</v>
      </c>
      <c r="AA48" s="1626">
        <f>AA37+AA39+AA41+AA43+AA47</f>
        <v>2655</v>
      </c>
      <c r="AB48" s="1626">
        <f>AB37+AB39+AB41+AB43+AB47</f>
        <v>41277</v>
      </c>
      <c r="AC48" s="1626">
        <f>AC37+AC39+AC41+AC43+AC47</f>
        <v>41277</v>
      </c>
      <c r="AD48" s="1596">
        <f>AC48/AB48</f>
        <v>1</v>
      </c>
      <c r="AE48" s="1626">
        <f>AE37+AE39+AE41+AE43+AE47</f>
        <v>0</v>
      </c>
      <c r="AF48" s="1626">
        <f>AF37+AF39+AF41+AF43+AF47</f>
        <v>0</v>
      </c>
      <c r="AG48" s="1626">
        <f>AG37+AG39+AG41+AG43+AG47</f>
        <v>0</v>
      </c>
      <c r="AH48" s="1596"/>
      <c r="AI48" s="1626">
        <f>AI37+AI39+AI41+AI43+AI47</f>
        <v>2655</v>
      </c>
      <c r="AJ48" s="1626">
        <f>AJ37+AJ39+AJ41+AJ43+AJ47</f>
        <v>46571</v>
      </c>
      <c r="AK48" s="1626">
        <f>AK37+AK39+AK41+AK43+AK47</f>
        <v>46571</v>
      </c>
      <c r="AL48" s="1596">
        <f>AK48/AJ48</f>
        <v>1</v>
      </c>
      <c r="AM48" s="1626">
        <f>AM37+AM39+AM41+AM43+AM47</f>
        <v>0</v>
      </c>
      <c r="AN48" s="1626">
        <f>AN37+AN39+AN41+AN43+AN47</f>
        <v>440726</v>
      </c>
      <c r="AO48" s="1626">
        <f>AO37+AO39+AO41+AO43+AO47</f>
        <v>440726</v>
      </c>
      <c r="AP48" s="1596">
        <f>AO48/AN48</f>
        <v>1</v>
      </c>
      <c r="AQ48" s="1629" t="s">
        <v>1248</v>
      </c>
      <c r="AR48" s="1626">
        <f>AR37+AR39+AR41+AR43+AR47</f>
        <v>5839650</v>
      </c>
      <c r="AS48" s="1626">
        <f>AS37+AS39+AS41+AS43+AS47</f>
        <v>6571972</v>
      </c>
      <c r="AT48" s="1626">
        <f>AT37+AT39+AT41+AT43+AT47</f>
        <v>6124104</v>
      </c>
      <c r="AU48" s="1596">
        <f>AT48/AS48</f>
        <v>0.93185180947210366</v>
      </c>
      <c r="AV48" s="1626">
        <f>AV37+AV39+AV41+AV43+AV47</f>
        <v>90268</v>
      </c>
      <c r="AW48" s="1626">
        <f>AW37+AW39+AW41+AW43+AW47</f>
        <v>276175</v>
      </c>
      <c r="AX48" s="1626">
        <f>AX37+AX39+AX41+AX43+AX47</f>
        <v>204436</v>
      </c>
      <c r="AY48" s="1596">
        <f>AX48/AW48</f>
        <v>0.74024078935457593</v>
      </c>
      <c r="AZ48" s="1626">
        <f>AZ37+AZ39+AZ41+AZ43+AZ47</f>
        <v>5929918</v>
      </c>
      <c r="BA48" s="1626">
        <f>BA37+BA39+BA41+BA43+BA47</f>
        <v>6848147</v>
      </c>
      <c r="BB48" s="1626">
        <f>BB37+BB39+BB41+BB43+BB47</f>
        <v>6328540</v>
      </c>
      <c r="BC48" s="1596">
        <f>BB48/BA48</f>
        <v>0.92412443833346447</v>
      </c>
      <c r="BD48" s="1626">
        <f>BD37+BD39+BD41+BD43+BD47</f>
        <v>7260972</v>
      </c>
      <c r="BE48" s="1626">
        <f>BE37+BE39+BE41+BE43+BE47</f>
        <v>9311051</v>
      </c>
      <c r="BF48" s="1626">
        <f>BF37+BF39+BF41+BF43+BF47</f>
        <v>8791055</v>
      </c>
      <c r="BG48" s="1596">
        <f>BF48/BE48</f>
        <v>0.94415281368343917</v>
      </c>
      <c r="BH48" s="1568"/>
      <c r="BI48" s="1568"/>
      <c r="BJ48" s="804"/>
      <c r="BK48" s="804"/>
      <c r="BL48" s="804"/>
      <c r="BM48" s="804"/>
      <c r="BN48" s="804"/>
      <c r="BO48" s="804"/>
    </row>
    <row r="49" spans="1:67" ht="57" customHeight="1" thickBot="1" x14ac:dyDescent="0.75">
      <c r="A49" s="1612" t="s">
        <v>1249</v>
      </c>
      <c r="B49" s="1595">
        <f>B30+B48</f>
        <v>1071908</v>
      </c>
      <c r="C49" s="1595">
        <f>C30+C48</f>
        <v>1205305</v>
      </c>
      <c r="D49" s="1595">
        <f>D30+D48</f>
        <v>1205295</v>
      </c>
      <c r="E49" s="1588">
        <f>D49/C49</f>
        <v>0.99999170334479659</v>
      </c>
      <c r="F49" s="1595">
        <f>F30+F48</f>
        <v>662488</v>
      </c>
      <c r="G49" s="1595">
        <f>G30+G48</f>
        <v>1226494</v>
      </c>
      <c r="H49" s="1595">
        <f>H30+H48</f>
        <v>1226491</v>
      </c>
      <c r="I49" s="1596">
        <f>H49/G49</f>
        <v>0.99999755400352552</v>
      </c>
      <c r="J49" s="1595">
        <f>J30+J48</f>
        <v>0</v>
      </c>
      <c r="K49" s="1595">
        <f>K30+K48</f>
        <v>2983</v>
      </c>
      <c r="L49" s="1595">
        <f>L30+L48</f>
        <v>2984</v>
      </c>
      <c r="M49" s="1596">
        <f>L49/K49</f>
        <v>1.0003352329869259</v>
      </c>
      <c r="N49" s="1595">
        <f>N30+N48</f>
        <v>1850</v>
      </c>
      <c r="O49" s="1595">
        <f>O30+O48</f>
        <v>1850</v>
      </c>
      <c r="P49" s="1595">
        <f>P30+P48</f>
        <v>1462</v>
      </c>
      <c r="Q49" s="1596">
        <f>P49/O49</f>
        <v>0.7902702702702703</v>
      </c>
      <c r="R49" s="1595">
        <f>R30+R48</f>
        <v>1736246</v>
      </c>
      <c r="S49" s="1595">
        <f>S30+S48</f>
        <v>2436632</v>
      </c>
      <c r="T49" s="1595">
        <f>T30+T48</f>
        <v>2436232</v>
      </c>
      <c r="U49" s="1596">
        <f>T49/S49</f>
        <v>0.99983583897773654</v>
      </c>
      <c r="V49" s="1631" t="s">
        <v>1249</v>
      </c>
      <c r="W49" s="1595">
        <f>W30+W48</f>
        <v>0</v>
      </c>
      <c r="X49" s="1595">
        <f>X30+X48</f>
        <v>5379</v>
      </c>
      <c r="Y49" s="1595">
        <f>Y30+Y48</f>
        <v>5379</v>
      </c>
      <c r="Z49" s="1596">
        <f>Y49/X49</f>
        <v>1</v>
      </c>
      <c r="AA49" s="1595">
        <f>AA30+AA48</f>
        <v>2655</v>
      </c>
      <c r="AB49" s="1595">
        <f>AB30+AB48</f>
        <v>41277</v>
      </c>
      <c r="AC49" s="1595">
        <f>AC30+AC48</f>
        <v>41277</v>
      </c>
      <c r="AD49" s="1596">
        <f>AC49/AB49</f>
        <v>1</v>
      </c>
      <c r="AE49" s="1595">
        <f>AE30+AE48</f>
        <v>0</v>
      </c>
      <c r="AF49" s="1595">
        <f>AF30+AF48</f>
        <v>0</v>
      </c>
      <c r="AG49" s="1595">
        <f>AG30+AG48</f>
        <v>0</v>
      </c>
      <c r="AH49" s="1596"/>
      <c r="AI49" s="1595">
        <f>AI30+AI48</f>
        <v>2655</v>
      </c>
      <c r="AJ49" s="1595">
        <f>AJ30+AJ48</f>
        <v>46656</v>
      </c>
      <c r="AK49" s="1595">
        <f>AK30+AK48</f>
        <v>46656</v>
      </c>
      <c r="AL49" s="1596">
        <f>AK49/AJ49</f>
        <v>1</v>
      </c>
      <c r="AM49" s="1595">
        <f>AM30+AM48</f>
        <v>0</v>
      </c>
      <c r="AN49" s="1595">
        <f>AN30+AN48</f>
        <v>487320</v>
      </c>
      <c r="AO49" s="1595">
        <f>AO30+AO48</f>
        <v>487320</v>
      </c>
      <c r="AP49" s="1596">
        <f>AO49/AN49</f>
        <v>1</v>
      </c>
      <c r="AQ49" s="1631" t="s">
        <v>1249</v>
      </c>
      <c r="AR49" s="1595">
        <f>AR30+AR48</f>
        <v>9147837</v>
      </c>
      <c r="AS49" s="1595">
        <f>AS30+AS48</f>
        <v>10033215</v>
      </c>
      <c r="AT49" s="1595">
        <f>AT30+AT48</f>
        <v>9435261</v>
      </c>
      <c r="AU49" s="1596">
        <f>AT49/AS49</f>
        <v>0.94040255292047459</v>
      </c>
      <c r="AV49" s="1595">
        <f>AV30+AV48</f>
        <v>90268</v>
      </c>
      <c r="AW49" s="1595">
        <f>AW30+AW48</f>
        <v>393860</v>
      </c>
      <c r="AX49" s="1595">
        <f>AX30+AX48</f>
        <v>286302</v>
      </c>
      <c r="AY49" s="1596">
        <f>AX49/AW49</f>
        <v>0.72691311633575384</v>
      </c>
      <c r="AZ49" s="1595">
        <f>AZ30+AZ48</f>
        <v>9238105</v>
      </c>
      <c r="BA49" s="1595">
        <f>BA30+BA48</f>
        <v>10427075</v>
      </c>
      <c r="BB49" s="1595">
        <f>BB30+BB48</f>
        <v>9721563</v>
      </c>
      <c r="BC49" s="1596">
        <f>BB49/BA49</f>
        <v>0.93233845541534899</v>
      </c>
      <c r="BD49" s="1595">
        <f>BD30+BD48</f>
        <v>10977006</v>
      </c>
      <c r="BE49" s="1595">
        <f>BE30+BE48</f>
        <v>13397683</v>
      </c>
      <c r="BF49" s="1595">
        <f>BF30+BF48</f>
        <v>12691771</v>
      </c>
      <c r="BG49" s="1596">
        <f>BF49/BE49</f>
        <v>0.94731088950231168</v>
      </c>
      <c r="BH49" s="1568"/>
      <c r="BI49" s="1568"/>
      <c r="BJ49" s="804"/>
      <c r="BK49" s="804"/>
      <c r="BL49" s="804"/>
      <c r="BM49" s="804"/>
      <c r="BN49" s="804"/>
      <c r="BO49" s="804"/>
    </row>
    <row r="50" spans="1:67" s="819" customFormat="1" ht="49.5" customHeight="1" x14ac:dyDescent="0.7">
      <c r="A50" s="1632"/>
      <c r="B50" s="1633"/>
      <c r="C50" s="1633"/>
      <c r="D50" s="1633"/>
      <c r="E50" s="1633"/>
      <c r="F50" s="1633"/>
      <c r="G50" s="1633"/>
      <c r="H50" s="1633"/>
      <c r="I50" s="1633"/>
      <c r="J50" s="1633"/>
      <c r="K50" s="1633"/>
      <c r="L50" s="1633"/>
      <c r="M50" s="1633"/>
      <c r="N50" s="1633"/>
      <c r="O50" s="1633"/>
      <c r="P50" s="1633"/>
      <c r="Q50" s="1633"/>
      <c r="R50" s="1633"/>
      <c r="S50" s="1633"/>
      <c r="T50" s="1633"/>
      <c r="U50" s="1633"/>
      <c r="V50" s="1632"/>
      <c r="W50" s="1633"/>
      <c r="X50" s="1633"/>
      <c r="Y50" s="1633"/>
      <c r="Z50" s="1633"/>
      <c r="AA50" s="1633"/>
      <c r="AB50" s="1633"/>
      <c r="AC50" s="1633"/>
      <c r="AD50" s="1633"/>
      <c r="AE50" s="1633"/>
      <c r="AF50" s="1633"/>
      <c r="AG50" s="1633"/>
      <c r="AH50" s="1633"/>
      <c r="AI50" s="1633"/>
      <c r="AJ50" s="1633"/>
      <c r="AK50" s="1633"/>
      <c r="AL50" s="1633"/>
      <c r="AM50" s="1632"/>
      <c r="AN50" s="1632"/>
      <c r="AO50" s="1632"/>
      <c r="AP50" s="1632"/>
      <c r="AQ50" s="1632"/>
      <c r="AR50" s="1632"/>
      <c r="AS50" s="1632"/>
      <c r="AT50" s="1632"/>
      <c r="AU50" s="1632"/>
      <c r="AV50" s="1632"/>
      <c r="AW50" s="1632"/>
      <c r="AX50" s="1632"/>
      <c r="AY50" s="1632"/>
      <c r="AZ50" s="1632"/>
      <c r="BA50" s="1632"/>
      <c r="BB50" s="1579"/>
      <c r="BC50" s="1579"/>
      <c r="BD50" s="1579"/>
      <c r="BE50" s="1579"/>
      <c r="BF50" s="1570"/>
      <c r="BG50" s="1570"/>
      <c r="BH50" s="1568"/>
      <c r="BI50" s="1568"/>
      <c r="BJ50" s="818"/>
      <c r="BK50" s="818"/>
      <c r="BL50" s="818"/>
      <c r="BM50" s="818"/>
      <c r="BN50" s="818"/>
      <c r="BO50" s="818"/>
    </row>
    <row r="51" spans="1:67" s="819" customFormat="1" ht="47.25" customHeight="1" x14ac:dyDescent="0.7">
      <c r="A51" s="1634"/>
      <c r="B51" s="1633"/>
      <c r="C51" s="1633"/>
      <c r="D51" s="1633"/>
      <c r="E51" s="1633"/>
      <c r="F51" s="1633"/>
      <c r="G51" s="1633"/>
      <c r="H51" s="1633"/>
      <c r="I51" s="1633"/>
      <c r="J51" s="1633"/>
      <c r="K51" s="1633"/>
      <c r="L51" s="1633"/>
      <c r="M51" s="1633"/>
      <c r="N51" s="1633"/>
      <c r="O51" s="1633"/>
      <c r="P51" s="1633"/>
      <c r="Q51" s="1633"/>
      <c r="R51" s="1633"/>
      <c r="S51" s="1633"/>
      <c r="T51" s="1633"/>
      <c r="U51" s="1633"/>
      <c r="V51" s="1634"/>
      <c r="W51" s="1633"/>
      <c r="X51" s="1633"/>
      <c r="Y51" s="1633"/>
      <c r="Z51" s="1633"/>
      <c r="AA51" s="1633"/>
      <c r="AB51" s="1633"/>
      <c r="AC51" s="1633"/>
      <c r="AD51" s="1633"/>
      <c r="AE51" s="1633"/>
      <c r="AF51" s="1633"/>
      <c r="AG51" s="1633"/>
      <c r="AH51" s="1633"/>
      <c r="AI51" s="1633"/>
      <c r="AJ51" s="1633"/>
      <c r="AK51" s="1633"/>
      <c r="AL51" s="1633"/>
      <c r="AM51" s="1634"/>
      <c r="AN51" s="1570"/>
      <c r="AO51" s="1570"/>
      <c r="AP51" s="1634"/>
      <c r="AQ51" s="1634"/>
      <c r="AR51" s="1570"/>
      <c r="AS51" s="1570"/>
      <c r="AT51" s="1570"/>
      <c r="AU51" s="1634"/>
      <c r="AV51" s="1570"/>
      <c r="AW51" s="1570"/>
      <c r="AX51" s="1570"/>
      <c r="AY51" s="1634"/>
      <c r="AZ51" s="1570"/>
      <c r="BA51" s="1570"/>
      <c r="BB51" s="1579"/>
      <c r="BC51" s="1579"/>
      <c r="BD51" s="1633"/>
      <c r="BE51" s="1633"/>
      <c r="BF51" s="1633"/>
      <c r="BG51" s="1633"/>
      <c r="BH51" s="1568"/>
      <c r="BI51" s="1568"/>
      <c r="BJ51" s="818"/>
      <c r="BK51" s="818"/>
      <c r="BL51" s="818"/>
      <c r="BM51" s="818"/>
      <c r="BN51" s="818"/>
      <c r="BO51" s="818"/>
    </row>
    <row r="52" spans="1:67" s="819" customFormat="1" ht="47.25" customHeight="1" x14ac:dyDescent="0.7">
      <c r="A52" s="1634"/>
      <c r="B52" s="1633"/>
      <c r="C52" s="1633"/>
      <c r="D52" s="1633"/>
      <c r="E52" s="1633"/>
      <c r="F52" s="1633"/>
      <c r="G52" s="1633"/>
      <c r="H52" s="1633"/>
      <c r="I52" s="1633"/>
      <c r="J52" s="1633"/>
      <c r="K52" s="1633"/>
      <c r="L52" s="1633"/>
      <c r="M52" s="1633"/>
      <c r="N52" s="1633"/>
      <c r="O52" s="1633"/>
      <c r="P52" s="1633"/>
      <c r="Q52" s="1633"/>
      <c r="R52" s="1633"/>
      <c r="S52" s="1633"/>
      <c r="T52" s="1633"/>
      <c r="U52" s="1633"/>
      <c r="V52" s="1633"/>
      <c r="W52" s="1633"/>
      <c r="X52" s="1633"/>
      <c r="Y52" s="1633"/>
      <c r="Z52" s="1633"/>
      <c r="AA52" s="1633"/>
      <c r="AB52" s="1633"/>
      <c r="AC52" s="1633"/>
      <c r="AD52" s="1633"/>
      <c r="AE52" s="1633"/>
      <c r="AF52" s="1633"/>
      <c r="AG52" s="1633"/>
      <c r="AH52" s="1633"/>
      <c r="AI52" s="1633"/>
      <c r="AJ52" s="1633"/>
      <c r="AK52" s="1633"/>
      <c r="AL52" s="1633"/>
      <c r="AM52" s="1633"/>
      <c r="AN52" s="1633"/>
      <c r="AO52" s="1633"/>
      <c r="AP52" s="1633"/>
      <c r="AQ52" s="1633"/>
      <c r="AR52" s="1633"/>
      <c r="AS52" s="1633"/>
      <c r="AT52" s="1633"/>
      <c r="AU52" s="1633"/>
      <c r="AV52" s="1633"/>
      <c r="AW52" s="1633"/>
      <c r="AX52" s="1633"/>
      <c r="AY52" s="1633"/>
      <c r="AZ52" s="1633"/>
      <c r="BA52" s="1633"/>
      <c r="BB52" s="1633"/>
      <c r="BC52" s="1633"/>
      <c r="BD52" s="1633"/>
      <c r="BE52" s="1633"/>
      <c r="BF52" s="1633"/>
      <c r="BG52" s="1633"/>
      <c r="BH52" s="1568"/>
      <c r="BI52" s="1568"/>
      <c r="BJ52" s="818"/>
      <c r="BK52" s="818"/>
      <c r="BL52" s="818"/>
      <c r="BM52" s="818"/>
      <c r="BN52" s="818"/>
      <c r="BO52" s="818"/>
    </row>
    <row r="53" spans="1:67" ht="26.45" customHeight="1" x14ac:dyDescent="0.7">
      <c r="A53" s="1634"/>
      <c r="B53" s="1633"/>
      <c r="C53" s="1633"/>
      <c r="D53" s="1633"/>
      <c r="E53" s="1633"/>
      <c r="F53" s="1633"/>
      <c r="G53" s="1633"/>
      <c r="H53" s="1633"/>
      <c r="I53" s="1633"/>
      <c r="J53" s="1633"/>
      <c r="K53" s="1633"/>
      <c r="L53" s="1633"/>
      <c r="M53" s="1633"/>
      <c r="N53" s="1633"/>
      <c r="O53" s="1633"/>
      <c r="P53" s="1633"/>
      <c r="Q53" s="1633"/>
      <c r="R53" s="1633"/>
      <c r="S53" s="1633"/>
      <c r="T53" s="1633"/>
      <c r="U53" s="1633"/>
      <c r="V53" s="1634"/>
      <c r="W53" s="1633"/>
      <c r="X53" s="1633"/>
      <c r="Y53" s="1633"/>
      <c r="Z53" s="1633"/>
      <c r="AA53" s="1633"/>
      <c r="AB53" s="1633"/>
      <c r="AC53" s="1633"/>
      <c r="AD53" s="1633"/>
      <c r="AE53" s="1633"/>
      <c r="AF53" s="1633"/>
      <c r="AG53" s="1633"/>
      <c r="AH53" s="1633"/>
      <c r="AI53" s="1633"/>
      <c r="AJ53" s="1633"/>
      <c r="AK53" s="1633"/>
      <c r="AL53" s="1633"/>
      <c r="AM53" s="1634"/>
      <c r="AN53" s="1634"/>
      <c r="AO53" s="1634"/>
      <c r="AP53" s="1634"/>
      <c r="AQ53" s="1634"/>
      <c r="AR53" s="1634"/>
      <c r="AS53" s="1634"/>
      <c r="AT53" s="1634"/>
      <c r="AU53" s="1634"/>
      <c r="AV53" s="1634"/>
      <c r="AW53" s="1634"/>
      <c r="AX53" s="1634"/>
      <c r="AY53" s="1634"/>
      <c r="AZ53" s="1634"/>
      <c r="BA53" s="1634"/>
      <c r="BB53" s="1579"/>
      <c r="BC53" s="1579"/>
      <c r="BD53" s="1579"/>
      <c r="BE53" s="1579"/>
      <c r="BF53" s="1633"/>
      <c r="BG53" s="1633"/>
      <c r="BH53" s="1568"/>
      <c r="BI53" s="1568"/>
      <c r="BJ53" s="804"/>
      <c r="BK53" s="804"/>
      <c r="BL53" s="804"/>
      <c r="BM53" s="804"/>
      <c r="BN53" s="804"/>
      <c r="BO53" s="804"/>
    </row>
    <row r="54" spans="1:67" ht="26.45" customHeight="1" x14ac:dyDescent="0.6">
      <c r="A54" s="1635"/>
      <c r="B54" s="1636"/>
      <c r="C54" s="1636"/>
      <c r="D54" s="1636"/>
      <c r="E54" s="1636"/>
      <c r="F54" s="1636"/>
      <c r="G54" s="1636"/>
      <c r="H54" s="1636"/>
      <c r="I54" s="1636"/>
      <c r="J54" s="1636"/>
      <c r="K54" s="1636"/>
      <c r="L54" s="1636"/>
      <c r="M54" s="1636"/>
      <c r="N54" s="1636"/>
      <c r="O54" s="1636"/>
      <c r="P54" s="1636"/>
      <c r="Q54" s="1636"/>
      <c r="R54" s="1636"/>
      <c r="S54" s="1636"/>
      <c r="T54" s="1636"/>
      <c r="U54" s="1636"/>
      <c r="V54" s="1637"/>
      <c r="W54" s="1636"/>
      <c r="X54" s="1636"/>
      <c r="Y54" s="1636"/>
      <c r="Z54" s="1636"/>
      <c r="AA54" s="1636"/>
      <c r="AB54" s="1636"/>
      <c r="AC54" s="1636"/>
      <c r="AD54" s="1636"/>
      <c r="AE54" s="1636"/>
      <c r="AF54" s="1636"/>
      <c r="AG54" s="1636"/>
      <c r="AH54" s="1636"/>
      <c r="AI54" s="1636"/>
      <c r="AJ54" s="1636"/>
      <c r="AK54" s="1636"/>
      <c r="AL54" s="1636"/>
      <c r="AM54" s="1637"/>
      <c r="AN54" s="1637"/>
      <c r="AO54" s="1637"/>
      <c r="AP54" s="1637"/>
      <c r="AQ54" s="1637"/>
      <c r="AR54" s="1637"/>
      <c r="AS54" s="1637"/>
      <c r="AT54" s="1637"/>
      <c r="AU54" s="1637"/>
      <c r="AV54" s="1637"/>
      <c r="AW54" s="1637"/>
      <c r="AX54" s="1637"/>
      <c r="AY54" s="1637"/>
      <c r="AZ54" s="1637"/>
      <c r="BA54" s="1637"/>
      <c r="BB54" s="1638"/>
      <c r="BC54" s="1638"/>
      <c r="BD54" s="1638"/>
      <c r="BE54" s="1638"/>
      <c r="BF54" s="1636"/>
      <c r="BG54" s="1636"/>
    </row>
    <row r="55" spans="1:67" ht="26.45" customHeight="1" x14ac:dyDescent="0.6">
      <c r="A55" s="1635"/>
      <c r="V55" s="1637"/>
      <c r="AM55" s="1635"/>
      <c r="AN55" s="1635"/>
      <c r="AO55" s="1635"/>
      <c r="AP55" s="1635"/>
      <c r="AQ55" s="1637"/>
      <c r="AR55" s="1635"/>
      <c r="AS55" s="1635"/>
      <c r="AT55" s="1635"/>
      <c r="AU55" s="1635"/>
      <c r="AV55" s="1635"/>
      <c r="AW55" s="1635"/>
      <c r="AX55" s="1635"/>
      <c r="AY55" s="1635"/>
      <c r="AZ55" s="1635"/>
      <c r="BA55" s="1635"/>
    </row>
  </sheetData>
  <mergeCells count="23">
    <mergeCell ref="AZ6:BC7"/>
    <mergeCell ref="AV7:AY7"/>
    <mergeCell ref="AA6:AD7"/>
    <mergeCell ref="AE6:AH7"/>
    <mergeCell ref="AI6:AL7"/>
    <mergeCell ref="AM6:AP7"/>
    <mergeCell ref="AR6:AY6"/>
    <mergeCell ref="W6:Z7"/>
    <mergeCell ref="A3:U3"/>
    <mergeCell ref="V3:AP3"/>
    <mergeCell ref="AQ3:BG3"/>
    <mergeCell ref="BH3:BO3"/>
    <mergeCell ref="A4:U4"/>
    <mergeCell ref="V4:AP4"/>
    <mergeCell ref="AQ4:BG4"/>
    <mergeCell ref="BH4:BO4"/>
    <mergeCell ref="B6:E7"/>
    <mergeCell ref="F6:I7"/>
    <mergeCell ref="J6:M7"/>
    <mergeCell ref="N6:Q7"/>
    <mergeCell ref="R6:U7"/>
    <mergeCell ref="BD6:BG7"/>
    <mergeCell ref="AR7:AU7"/>
  </mergeCells>
  <printOptions horizontalCentered="1" verticalCentered="1"/>
  <pageMargins left="0" right="0" top="0" bottom="0" header="0" footer="0"/>
  <pageSetup paperSize="9" scale="15" orientation="landscape" r:id="rId1"/>
  <headerFooter alignWithMargins="0">
    <oddHeader xml:space="preserve">&amp;R&amp;26
&amp;28 4.melléklet a 13/2023. (V.26.) önkormányzati rendelethez  </oddHeader>
    <oddFooter xml:space="preserve">&amp;C &amp;R
&amp;36 &amp;10
</oddFooter>
  </headerFooter>
  <colBreaks count="2" manualBreakCount="2">
    <brk id="21" max="49" man="1"/>
    <brk id="42" max="4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22EFC-8FF9-419F-8EC4-1F1B240EBC02}">
  <dimension ref="A1:E94"/>
  <sheetViews>
    <sheetView view="pageLayout" topLeftCell="F1" zoomScaleNormal="100" workbookViewId="0">
      <selection activeCell="R8" sqref="R8"/>
    </sheetView>
  </sheetViews>
  <sheetFormatPr defaultColWidth="10.33203125" defaultRowHeight="15.75" x14ac:dyDescent="0.25"/>
  <cols>
    <col min="1" max="1" width="94.83203125" style="1947" customWidth="1"/>
    <col min="2" max="5" width="29.83203125" style="1903" customWidth="1"/>
    <col min="6" max="16384" width="10.33203125" style="1905"/>
  </cols>
  <sheetData>
    <row r="1" spans="1:5" s="1904" customFormat="1" x14ac:dyDescent="0.25">
      <c r="A1" s="2033" t="s">
        <v>666</v>
      </c>
      <c r="B1" s="2033"/>
      <c r="C1" s="2033"/>
      <c r="D1" s="2033"/>
      <c r="E1" s="1948"/>
    </row>
    <row r="2" spans="1:5" x14ac:dyDescent="0.25">
      <c r="A2" s="2033" t="s">
        <v>1284</v>
      </c>
      <c r="B2" s="2033"/>
      <c r="C2" s="2033"/>
      <c r="D2" s="2033"/>
      <c r="E2" s="1948"/>
    </row>
    <row r="3" spans="1:5" x14ac:dyDescent="0.25">
      <c r="A3" s="2034" t="s">
        <v>1285</v>
      </c>
      <c r="B3" s="2034"/>
      <c r="C3" s="2034"/>
      <c r="D3" s="2034"/>
      <c r="E3" s="1949"/>
    </row>
    <row r="4" spans="1:5" ht="16.5" thickBot="1" x14ac:dyDescent="0.3">
      <c r="A4" s="1906"/>
      <c r="B4" s="1907"/>
      <c r="C4" s="1908"/>
      <c r="D4" s="1908"/>
      <c r="E4" s="1908" t="s">
        <v>17</v>
      </c>
    </row>
    <row r="5" spans="1:5" s="1904" customFormat="1" ht="31.5" x14ac:dyDescent="0.25">
      <c r="A5" s="1909" t="s">
        <v>1286</v>
      </c>
      <c r="B5" s="1896" t="s">
        <v>1376</v>
      </c>
      <c r="C5" s="1897" t="s">
        <v>1287</v>
      </c>
      <c r="D5" s="1897" t="s">
        <v>1288</v>
      </c>
      <c r="E5" s="1897" t="s">
        <v>1289</v>
      </c>
    </row>
    <row r="6" spans="1:5" ht="31.5" x14ac:dyDescent="0.25">
      <c r="A6" s="1910" t="s">
        <v>1290</v>
      </c>
      <c r="B6" s="1950"/>
      <c r="C6" s="1951"/>
      <c r="D6" s="1951"/>
      <c r="E6" s="1951"/>
    </row>
    <row r="7" spans="1:5" x14ac:dyDescent="0.25">
      <c r="A7" s="1911" t="s">
        <v>1291</v>
      </c>
      <c r="B7" s="1952">
        <v>899319</v>
      </c>
      <c r="C7" s="1953">
        <v>899320</v>
      </c>
      <c r="D7" s="1953">
        <v>899320</v>
      </c>
      <c r="E7" s="1953">
        <f>D7-C7</f>
        <v>0</v>
      </c>
    </row>
    <row r="8" spans="1:5" x14ac:dyDescent="0.25">
      <c r="A8" s="1912" t="s">
        <v>1292</v>
      </c>
      <c r="B8" s="1954">
        <v>83099</v>
      </c>
      <c r="C8" s="1955">
        <v>83099</v>
      </c>
      <c r="D8" s="1955">
        <f>80542+2557</f>
        <v>83099</v>
      </c>
      <c r="E8" s="1953">
        <f t="shared" ref="E8:E14" si="0">D8-C8</f>
        <v>0</v>
      </c>
    </row>
    <row r="9" spans="1:5" x14ac:dyDescent="0.25">
      <c r="A9" s="1912" t="s">
        <v>1293</v>
      </c>
      <c r="B9" s="1954">
        <v>215050</v>
      </c>
      <c r="C9" s="1955">
        <v>215050</v>
      </c>
      <c r="D9" s="1955">
        <v>215050</v>
      </c>
      <c r="E9" s="1953">
        <f t="shared" si="0"/>
        <v>0</v>
      </c>
    </row>
    <row r="10" spans="1:5" x14ac:dyDescent="0.25">
      <c r="A10" s="1912" t="s">
        <v>1294</v>
      </c>
      <c r="B10" s="1954">
        <v>30674</v>
      </c>
      <c r="C10" s="1955">
        <v>30674</v>
      </c>
      <c r="D10" s="1955">
        <v>30674</v>
      </c>
      <c r="E10" s="1953">
        <f t="shared" si="0"/>
        <v>0</v>
      </c>
    </row>
    <row r="11" spans="1:5" x14ac:dyDescent="0.25">
      <c r="A11" s="1912" t="s">
        <v>1295</v>
      </c>
      <c r="B11" s="1954">
        <v>130192</v>
      </c>
      <c r="C11" s="1955">
        <v>130192</v>
      </c>
      <c r="D11" s="1955">
        <v>130192</v>
      </c>
      <c r="E11" s="1953">
        <f t="shared" si="0"/>
        <v>0</v>
      </c>
    </row>
    <row r="12" spans="1:5" x14ac:dyDescent="0.25">
      <c r="A12" s="1912" t="s">
        <v>1296</v>
      </c>
      <c r="B12" s="1954">
        <v>211804</v>
      </c>
      <c r="C12" s="1955">
        <v>211804</v>
      </c>
      <c r="D12" s="1955">
        <v>211804</v>
      </c>
      <c r="E12" s="1953">
        <f t="shared" si="0"/>
        <v>0</v>
      </c>
    </row>
    <row r="13" spans="1:5" x14ac:dyDescent="0.25">
      <c r="A13" s="1912" t="s">
        <v>1297</v>
      </c>
      <c r="B13" s="1954">
        <v>129</v>
      </c>
      <c r="C13" s="1955">
        <v>129</v>
      </c>
      <c r="D13" s="1955">
        <v>129</v>
      </c>
      <c r="E13" s="1953">
        <f t="shared" si="0"/>
        <v>0</v>
      </c>
    </row>
    <row r="14" spans="1:5" ht="36" customHeight="1" thickBot="1" x14ac:dyDescent="0.3">
      <c r="A14" s="1913" t="s">
        <v>1298</v>
      </c>
      <c r="B14" s="1954">
        <v>30</v>
      </c>
      <c r="C14" s="1955">
        <v>30</v>
      </c>
      <c r="D14" s="1955">
        <v>42</v>
      </c>
      <c r="E14" s="1953">
        <f t="shared" si="0"/>
        <v>12</v>
      </c>
    </row>
    <row r="15" spans="1:5" s="1915" customFormat="1" ht="33" thickTop="1" thickBot="1" x14ac:dyDescent="0.3">
      <c r="A15" s="1914" t="s">
        <v>1299</v>
      </c>
      <c r="B15" s="1956">
        <f>SUM(B6:B14)</f>
        <v>1570297</v>
      </c>
      <c r="C15" s="1956">
        <f t="shared" ref="C15:E15" si="1">SUM(C6:C14)</f>
        <v>1570298</v>
      </c>
      <c r="D15" s="1956">
        <f t="shared" si="1"/>
        <v>1570310</v>
      </c>
      <c r="E15" s="1956">
        <f t="shared" si="1"/>
        <v>12</v>
      </c>
    </row>
    <row r="16" spans="1:5" s="1915" customFormat="1" ht="32.25" thickTop="1" x14ac:dyDescent="0.25">
      <c r="A16" s="1916" t="s">
        <v>1300</v>
      </c>
      <c r="B16" s="1940"/>
      <c r="C16" s="1942"/>
      <c r="D16" s="1942"/>
      <c r="E16" s="1942"/>
    </row>
    <row r="17" spans="1:5" x14ac:dyDescent="0.25">
      <c r="A17" s="1917" t="s">
        <v>1301</v>
      </c>
      <c r="B17" s="1957"/>
      <c r="C17" s="1958"/>
      <c r="D17" s="1958"/>
      <c r="E17" s="1958"/>
    </row>
    <row r="18" spans="1:5" ht="31.5" x14ac:dyDescent="0.25">
      <c r="A18" s="1918" t="s">
        <v>1302</v>
      </c>
      <c r="B18" s="1952">
        <v>297310</v>
      </c>
      <c r="C18" s="1953">
        <v>295009</v>
      </c>
      <c r="D18" s="1953">
        <f>250470+45740-354+154+1</f>
        <v>296011</v>
      </c>
      <c r="E18" s="1953">
        <f>D18-C18</f>
        <v>1002</v>
      </c>
    </row>
    <row r="19" spans="1:5" x14ac:dyDescent="0.25">
      <c r="A19" s="1916" t="s">
        <v>1303</v>
      </c>
      <c r="B19" s="1950"/>
      <c r="C19" s="1951"/>
      <c r="D19" s="1951"/>
      <c r="E19" s="1951">
        <f t="shared" ref="E19:E45" si="2">D19-C19</f>
        <v>0</v>
      </c>
    </row>
    <row r="20" spans="1:5" x14ac:dyDescent="0.25">
      <c r="A20" s="1919" t="s">
        <v>1304</v>
      </c>
      <c r="B20" s="1952">
        <v>1098367</v>
      </c>
      <c r="C20" s="1953">
        <v>1095735</v>
      </c>
      <c r="D20" s="1953">
        <f>1099825-201+321+1</f>
        <v>1099946</v>
      </c>
      <c r="E20" s="1953">
        <f t="shared" si="2"/>
        <v>4211</v>
      </c>
    </row>
    <row r="21" spans="1:5" x14ac:dyDescent="0.25">
      <c r="A21" s="1920" t="s">
        <v>1305</v>
      </c>
      <c r="B21" s="1950"/>
      <c r="C21" s="1951"/>
      <c r="D21" s="1951"/>
      <c r="E21" s="1951">
        <f t="shared" si="2"/>
        <v>0</v>
      </c>
    </row>
    <row r="22" spans="1:5" x14ac:dyDescent="0.25">
      <c r="A22" s="1921" t="s">
        <v>1306</v>
      </c>
      <c r="B22" s="1957"/>
      <c r="C22" s="1958"/>
      <c r="D22" s="1958"/>
      <c r="E22" s="1958">
        <f t="shared" si="2"/>
        <v>0</v>
      </c>
    </row>
    <row r="23" spans="1:5" ht="31.5" x14ac:dyDescent="0.25">
      <c r="A23" s="1922" t="s">
        <v>1307</v>
      </c>
      <c r="B23" s="1952">
        <v>8116</v>
      </c>
      <c r="C23" s="1953">
        <v>7547</v>
      </c>
      <c r="D23" s="1953">
        <v>7547</v>
      </c>
      <c r="E23" s="1953">
        <f t="shared" si="2"/>
        <v>0</v>
      </c>
    </row>
    <row r="24" spans="1:5" ht="31.5" x14ac:dyDescent="0.25">
      <c r="A24" s="1917" t="s">
        <v>1308</v>
      </c>
      <c r="B24" s="1957"/>
      <c r="C24" s="1958"/>
      <c r="D24" s="1958"/>
      <c r="E24" s="1958">
        <f t="shared" si="2"/>
        <v>0</v>
      </c>
    </row>
    <row r="25" spans="1:5" x14ac:dyDescent="0.25">
      <c r="A25" s="1921" t="s">
        <v>1309</v>
      </c>
      <c r="B25" s="1957"/>
      <c r="C25" s="1958"/>
      <c r="D25" s="1958"/>
      <c r="E25" s="1958">
        <f t="shared" si="2"/>
        <v>0</v>
      </c>
    </row>
    <row r="26" spans="1:5" ht="31.5" x14ac:dyDescent="0.25">
      <c r="A26" s="1911" t="s">
        <v>1310</v>
      </c>
      <c r="B26" s="1952">
        <v>542920</v>
      </c>
      <c r="C26" s="1953">
        <v>546397</v>
      </c>
      <c r="D26" s="1953">
        <f>541250+138-809</f>
        <v>540579</v>
      </c>
      <c r="E26" s="1953">
        <f t="shared" si="2"/>
        <v>-5818</v>
      </c>
    </row>
    <row r="27" spans="1:5" ht="32.25" thickBot="1" x14ac:dyDescent="0.3">
      <c r="A27" s="1923" t="s">
        <v>1311</v>
      </c>
      <c r="B27" s="1959">
        <v>36841</v>
      </c>
      <c r="C27" s="1959">
        <v>31980</v>
      </c>
      <c r="D27" s="1960">
        <f>32951+80</f>
        <v>33031</v>
      </c>
      <c r="E27" s="1960">
        <f t="shared" si="2"/>
        <v>1051</v>
      </c>
    </row>
    <row r="28" spans="1:5" s="1904" customFormat="1" ht="32.25" thickTop="1" x14ac:dyDescent="0.25">
      <c r="A28" s="1924" t="s">
        <v>1312</v>
      </c>
      <c r="B28" s="1957"/>
      <c r="C28" s="1957"/>
      <c r="D28" s="1958"/>
      <c r="E28" s="1958">
        <f t="shared" si="2"/>
        <v>0</v>
      </c>
    </row>
    <row r="29" spans="1:5" s="1904" customFormat="1" x14ac:dyDescent="0.25">
      <c r="A29" s="1917" t="s">
        <v>1313</v>
      </c>
      <c r="B29" s="1957"/>
      <c r="C29" s="1957"/>
      <c r="D29" s="1958"/>
      <c r="E29" s="1958">
        <f t="shared" si="2"/>
        <v>0</v>
      </c>
    </row>
    <row r="30" spans="1:5" x14ac:dyDescent="0.25">
      <c r="A30" s="1921" t="s">
        <v>1314</v>
      </c>
      <c r="B30" s="1957"/>
      <c r="C30" s="1957"/>
      <c r="D30" s="1958"/>
      <c r="E30" s="1958">
        <f t="shared" si="2"/>
        <v>0</v>
      </c>
    </row>
    <row r="31" spans="1:5" s="1904" customFormat="1" x14ac:dyDescent="0.25">
      <c r="A31" s="1917" t="s">
        <v>1315</v>
      </c>
      <c r="B31" s="1957"/>
      <c r="C31" s="1957"/>
      <c r="D31" s="1958"/>
      <c r="E31" s="1958">
        <f t="shared" si="2"/>
        <v>0</v>
      </c>
    </row>
    <row r="32" spans="1:5" ht="31.5" x14ac:dyDescent="0.25">
      <c r="A32" s="1911" t="s">
        <v>1316</v>
      </c>
      <c r="B32" s="1952">
        <v>27594</v>
      </c>
      <c r="C32" s="1953">
        <v>25983</v>
      </c>
      <c r="D32" s="1953">
        <f>26168+247+36</f>
        <v>26451</v>
      </c>
      <c r="E32" s="1953">
        <f t="shared" si="2"/>
        <v>468</v>
      </c>
    </row>
    <row r="33" spans="1:5" ht="31.5" x14ac:dyDescent="0.25">
      <c r="A33" s="1911" t="s">
        <v>1317</v>
      </c>
      <c r="B33" s="1954">
        <v>22672</v>
      </c>
      <c r="C33" s="1955">
        <v>21705</v>
      </c>
      <c r="D33" s="1955">
        <f>22833+93</f>
        <v>22926</v>
      </c>
      <c r="E33" s="1955">
        <f t="shared" si="2"/>
        <v>1221</v>
      </c>
    </row>
    <row r="34" spans="1:5" x14ac:dyDescent="0.25">
      <c r="A34" s="1924" t="s">
        <v>1318</v>
      </c>
      <c r="B34" s="1950"/>
      <c r="C34" s="1951"/>
      <c r="D34" s="1951"/>
      <c r="E34" s="1951">
        <f t="shared" si="2"/>
        <v>0</v>
      </c>
    </row>
    <row r="35" spans="1:5" ht="31.5" x14ac:dyDescent="0.25">
      <c r="A35" s="1911" t="s">
        <v>1319</v>
      </c>
      <c r="B35" s="1952">
        <v>563</v>
      </c>
      <c r="C35" s="1953">
        <v>563</v>
      </c>
      <c r="D35" s="1953">
        <v>563</v>
      </c>
      <c r="E35" s="1953">
        <f t="shared" si="2"/>
        <v>0</v>
      </c>
    </row>
    <row r="36" spans="1:5" ht="31.5" x14ac:dyDescent="0.25">
      <c r="A36" s="1911" t="s">
        <v>1320</v>
      </c>
      <c r="B36" s="1954">
        <v>3940</v>
      </c>
      <c r="C36" s="1955">
        <v>2120</v>
      </c>
      <c r="D36" s="1955">
        <v>2120</v>
      </c>
      <c r="E36" s="1955">
        <f t="shared" si="2"/>
        <v>0</v>
      </c>
    </row>
    <row r="37" spans="1:5" s="1925" customFormat="1" x14ac:dyDescent="0.25">
      <c r="A37" s="1920" t="s">
        <v>1321</v>
      </c>
      <c r="B37" s="1961"/>
      <c r="C37" s="1962"/>
      <c r="D37" s="1962"/>
      <c r="E37" s="1962">
        <f t="shared" si="2"/>
        <v>0</v>
      </c>
    </row>
    <row r="38" spans="1:5" x14ac:dyDescent="0.25">
      <c r="A38" s="1921" t="s">
        <v>1322</v>
      </c>
      <c r="B38" s="1957"/>
      <c r="C38" s="1958"/>
      <c r="D38" s="1958"/>
      <c r="E38" s="1958">
        <f t="shared" si="2"/>
        <v>0</v>
      </c>
    </row>
    <row r="39" spans="1:5" s="1904" customFormat="1" x14ac:dyDescent="0.25">
      <c r="A39" s="1917" t="s">
        <v>1323</v>
      </c>
      <c r="B39" s="1957"/>
      <c r="C39" s="1958"/>
      <c r="D39" s="1958"/>
      <c r="E39" s="1958">
        <f t="shared" si="2"/>
        <v>0</v>
      </c>
    </row>
    <row r="40" spans="1:5" ht="31.5" x14ac:dyDescent="0.25">
      <c r="A40" s="1911" t="s">
        <v>1324</v>
      </c>
      <c r="B40" s="1952">
        <v>0</v>
      </c>
      <c r="C40" s="1953">
        <v>2733</v>
      </c>
      <c r="D40" s="1953">
        <v>2733</v>
      </c>
      <c r="E40" s="1953">
        <f t="shared" si="2"/>
        <v>0</v>
      </c>
    </row>
    <row r="41" spans="1:5" ht="31.5" x14ac:dyDescent="0.25">
      <c r="A41" s="1911" t="s">
        <v>1325</v>
      </c>
      <c r="B41" s="1954">
        <v>0</v>
      </c>
      <c r="C41" s="1955">
        <v>4430</v>
      </c>
      <c r="D41" s="1955">
        <v>4430</v>
      </c>
      <c r="E41" s="1955">
        <f t="shared" si="2"/>
        <v>0</v>
      </c>
    </row>
    <row r="42" spans="1:5" x14ac:dyDescent="0.25">
      <c r="A42" s="1924" t="s">
        <v>1326</v>
      </c>
      <c r="B42" s="1950"/>
      <c r="C42" s="1951"/>
      <c r="D42" s="1951"/>
      <c r="E42" s="1951">
        <f t="shared" si="2"/>
        <v>0</v>
      </c>
    </row>
    <row r="43" spans="1:5" ht="31.5" x14ac:dyDescent="0.25">
      <c r="A43" s="1911" t="s">
        <v>1327</v>
      </c>
      <c r="B43" s="1952">
        <v>0</v>
      </c>
      <c r="C43" s="1953">
        <v>477</v>
      </c>
      <c r="D43" s="1953">
        <v>477</v>
      </c>
      <c r="E43" s="1953">
        <f t="shared" si="2"/>
        <v>0</v>
      </c>
    </row>
    <row r="44" spans="1:5" ht="31.5" x14ac:dyDescent="0.25">
      <c r="A44" s="1912" t="s">
        <v>1328</v>
      </c>
      <c r="B44" s="1954">
        <v>0</v>
      </c>
      <c r="C44" s="1955"/>
      <c r="D44" s="1955"/>
      <c r="E44" s="1955">
        <f t="shared" si="2"/>
        <v>0</v>
      </c>
    </row>
    <row r="45" spans="1:5" ht="16.5" thickBot="1" x14ac:dyDescent="0.3">
      <c r="A45" s="1912" t="s">
        <v>1329</v>
      </c>
      <c r="B45" s="1954">
        <v>480</v>
      </c>
      <c r="C45" s="1955">
        <v>960</v>
      </c>
      <c r="D45" s="1955">
        <v>960</v>
      </c>
      <c r="E45" s="1955">
        <f t="shared" si="2"/>
        <v>0</v>
      </c>
    </row>
    <row r="46" spans="1:5" ht="33" thickTop="1" thickBot="1" x14ac:dyDescent="0.3">
      <c r="A46" s="1914" t="s">
        <v>1330</v>
      </c>
      <c r="B46" s="1963">
        <f>SUM(B16:B45)</f>
        <v>2038803</v>
      </c>
      <c r="C46" s="1963">
        <f t="shared" ref="C46:E46" si="3">SUM(C16:C45)</f>
        <v>2035639</v>
      </c>
      <c r="D46" s="1963">
        <f t="shared" si="3"/>
        <v>2037774</v>
      </c>
      <c r="E46" s="1963">
        <f t="shared" si="3"/>
        <v>2135</v>
      </c>
    </row>
    <row r="47" spans="1:5" s="1926" customFormat="1" ht="32.25" thickTop="1" x14ac:dyDescent="0.25">
      <c r="A47" s="1916" t="s">
        <v>1331</v>
      </c>
      <c r="B47" s="1940"/>
      <c r="C47" s="1942"/>
      <c r="D47" s="1942"/>
      <c r="E47" s="1942"/>
    </row>
    <row r="48" spans="1:5" ht="21" customHeight="1" x14ac:dyDescent="0.25">
      <c r="A48" s="1927" t="s">
        <v>1332</v>
      </c>
      <c r="B48" s="1957"/>
      <c r="C48" s="1958"/>
      <c r="D48" s="1958"/>
      <c r="E48" s="1958"/>
    </row>
    <row r="49" spans="1:5" x14ac:dyDescent="0.25">
      <c r="A49" s="1911" t="s">
        <v>1333</v>
      </c>
      <c r="B49" s="1952">
        <v>75211</v>
      </c>
      <c r="C49" s="1953">
        <v>79498</v>
      </c>
      <c r="D49" s="1953">
        <v>79498</v>
      </c>
      <c r="E49" s="1953">
        <f t="shared" ref="E49:E66" si="4">D49-C49</f>
        <v>0</v>
      </c>
    </row>
    <row r="50" spans="1:5" x14ac:dyDescent="0.25">
      <c r="A50" s="1912" t="s">
        <v>1334</v>
      </c>
      <c r="B50" s="1952">
        <v>102991</v>
      </c>
      <c r="C50" s="1953">
        <v>102991</v>
      </c>
      <c r="D50" s="1953">
        <v>102991</v>
      </c>
      <c r="E50" s="1953">
        <f t="shared" si="4"/>
        <v>0</v>
      </c>
    </row>
    <row r="51" spans="1:5" x14ac:dyDescent="0.25">
      <c r="A51" s="1912" t="s">
        <v>1335</v>
      </c>
      <c r="B51" s="1952">
        <v>58679</v>
      </c>
      <c r="C51" s="1953">
        <v>62075</v>
      </c>
      <c r="D51" s="1953">
        <f>63087+276+114</f>
        <v>63477</v>
      </c>
      <c r="E51" s="1953">
        <f t="shared" si="4"/>
        <v>1402</v>
      </c>
    </row>
    <row r="52" spans="1:5" x14ac:dyDescent="0.25">
      <c r="A52" s="1928" t="s">
        <v>1336</v>
      </c>
      <c r="B52" s="1952">
        <v>200</v>
      </c>
      <c r="C52" s="1953">
        <v>100</v>
      </c>
      <c r="D52" s="1953">
        <v>75</v>
      </c>
      <c r="E52" s="1953">
        <f t="shared" si="4"/>
        <v>-25</v>
      </c>
    </row>
    <row r="53" spans="1:5" x14ac:dyDescent="0.25">
      <c r="A53" s="1912" t="s">
        <v>1337</v>
      </c>
      <c r="B53" s="1952">
        <v>48166</v>
      </c>
      <c r="C53" s="1953">
        <v>47240</v>
      </c>
      <c r="D53" s="1953">
        <f>47784-164+82</f>
        <v>47702</v>
      </c>
      <c r="E53" s="1953">
        <f t="shared" si="4"/>
        <v>462</v>
      </c>
    </row>
    <row r="54" spans="1:5" s="1926" customFormat="1" ht="37.5" customHeight="1" x14ac:dyDescent="0.25">
      <c r="A54" s="1912" t="s">
        <v>1338</v>
      </c>
      <c r="B54" s="1952">
        <v>32503</v>
      </c>
      <c r="C54" s="1953">
        <v>37308</v>
      </c>
      <c r="D54" s="1953">
        <f>36338+969</f>
        <v>37307</v>
      </c>
      <c r="E54" s="1953">
        <f t="shared" si="4"/>
        <v>-1</v>
      </c>
    </row>
    <row r="55" spans="1:5" ht="16.5" thickBot="1" x14ac:dyDescent="0.3">
      <c r="A55" s="1912" t="s">
        <v>1339</v>
      </c>
      <c r="B55" s="1954">
        <v>7465</v>
      </c>
      <c r="C55" s="1955">
        <v>8294</v>
      </c>
      <c r="D55" s="1955">
        <f>7465+80-80</f>
        <v>7465</v>
      </c>
      <c r="E55" s="1955">
        <f t="shared" si="4"/>
        <v>-829</v>
      </c>
    </row>
    <row r="56" spans="1:5" ht="39" customHeight="1" thickTop="1" thickBot="1" x14ac:dyDescent="0.3">
      <c r="A56" s="1929" t="s">
        <v>1332</v>
      </c>
      <c r="B56" s="1964">
        <f t="shared" ref="B56:D56" si="5">SUM(B49:B55)</f>
        <v>325215</v>
      </c>
      <c r="C56" s="1964">
        <f t="shared" si="5"/>
        <v>337506</v>
      </c>
      <c r="D56" s="1964">
        <f t="shared" si="5"/>
        <v>338515</v>
      </c>
      <c r="E56" s="1964">
        <f t="shared" si="4"/>
        <v>1009</v>
      </c>
    </row>
    <row r="57" spans="1:5" ht="16.5" thickTop="1" x14ac:dyDescent="0.25">
      <c r="A57" s="1917" t="s">
        <v>1340</v>
      </c>
      <c r="B57" s="1957"/>
      <c r="C57" s="1958"/>
      <c r="D57" s="1958"/>
      <c r="E57" s="1958">
        <f t="shared" si="4"/>
        <v>0</v>
      </c>
    </row>
    <row r="58" spans="1:5" x14ac:dyDescent="0.25">
      <c r="A58" s="1917" t="s">
        <v>1341</v>
      </c>
      <c r="B58" s="1957"/>
      <c r="C58" s="1958"/>
      <c r="D58" s="1958"/>
      <c r="E58" s="1958">
        <f t="shared" si="4"/>
        <v>0</v>
      </c>
    </row>
    <row r="59" spans="1:5" ht="31.5" x14ac:dyDescent="0.25">
      <c r="A59" s="1911" t="s">
        <v>1342</v>
      </c>
      <c r="B59" s="1952">
        <v>391479</v>
      </c>
      <c r="C59" s="1953">
        <v>395673</v>
      </c>
      <c r="D59" s="1953">
        <f>393009+1135-567</f>
        <v>393577</v>
      </c>
      <c r="E59" s="1953">
        <f t="shared" si="4"/>
        <v>-2096</v>
      </c>
    </row>
    <row r="60" spans="1:5" ht="31.5" x14ac:dyDescent="0.25">
      <c r="A60" s="1912" t="s">
        <v>1343</v>
      </c>
      <c r="B60" s="1952">
        <v>255746</v>
      </c>
      <c r="C60" s="1953">
        <v>257381</v>
      </c>
      <c r="D60" s="1953">
        <f>296216+359+10976</f>
        <v>307551</v>
      </c>
      <c r="E60" s="1953">
        <f t="shared" si="4"/>
        <v>50170</v>
      </c>
    </row>
    <row r="61" spans="1:5" ht="16.5" thickBot="1" x14ac:dyDescent="0.3">
      <c r="A61" s="1930" t="s">
        <v>1344</v>
      </c>
      <c r="B61" s="1952">
        <v>153113</v>
      </c>
      <c r="C61" s="1953">
        <v>168172</v>
      </c>
      <c r="D61" s="1953">
        <v>168172</v>
      </c>
      <c r="E61" s="1953">
        <f t="shared" si="4"/>
        <v>0</v>
      </c>
    </row>
    <row r="62" spans="1:5" ht="17.25" thickTop="1" thickBot="1" x14ac:dyDescent="0.3">
      <c r="A62" s="1929" t="s">
        <v>1345</v>
      </c>
      <c r="B62" s="1964">
        <f t="shared" ref="B62:D62" si="6">SUM(B59:B61)</f>
        <v>800338</v>
      </c>
      <c r="C62" s="1964">
        <f t="shared" si="6"/>
        <v>821226</v>
      </c>
      <c r="D62" s="1964">
        <f t="shared" si="6"/>
        <v>869300</v>
      </c>
      <c r="E62" s="1964">
        <f t="shared" si="4"/>
        <v>48074</v>
      </c>
    </row>
    <row r="63" spans="1:5" ht="32.25" thickTop="1" x14ac:dyDescent="0.25">
      <c r="A63" s="1931" t="s">
        <v>1346</v>
      </c>
      <c r="B63" s="1965"/>
      <c r="C63" s="1966"/>
      <c r="D63" s="1966"/>
      <c r="E63" s="1966">
        <f t="shared" si="4"/>
        <v>0</v>
      </c>
    </row>
    <row r="64" spans="1:5" x14ac:dyDescent="0.25">
      <c r="A64" s="1911" t="s">
        <v>1347</v>
      </c>
      <c r="B64" s="1952">
        <v>59839</v>
      </c>
      <c r="C64" s="1953">
        <v>59839</v>
      </c>
      <c r="D64" s="1953">
        <f>55339-940</f>
        <v>54399</v>
      </c>
      <c r="E64" s="1953">
        <f t="shared" si="4"/>
        <v>-5440</v>
      </c>
    </row>
    <row r="65" spans="1:5" ht="16.5" thickBot="1" x14ac:dyDescent="0.3">
      <c r="A65" s="1912" t="s">
        <v>1348</v>
      </c>
      <c r="B65" s="1952">
        <v>15679</v>
      </c>
      <c r="C65" s="1953">
        <v>19157</v>
      </c>
      <c r="D65" s="1953">
        <v>19157</v>
      </c>
      <c r="E65" s="1953">
        <f t="shared" si="4"/>
        <v>0</v>
      </c>
    </row>
    <row r="66" spans="1:5" ht="33" thickTop="1" thickBot="1" x14ac:dyDescent="0.3">
      <c r="A66" s="1932" t="s">
        <v>1346</v>
      </c>
      <c r="B66" s="1964">
        <f t="shared" ref="B66:D66" si="7">SUM(B64:B65)</f>
        <v>75518</v>
      </c>
      <c r="C66" s="1964">
        <f t="shared" si="7"/>
        <v>78996</v>
      </c>
      <c r="D66" s="1964">
        <f t="shared" si="7"/>
        <v>73556</v>
      </c>
      <c r="E66" s="1964">
        <f t="shared" si="4"/>
        <v>-5440</v>
      </c>
    </row>
    <row r="67" spans="1:5" ht="33" thickTop="1" thickBot="1" x14ac:dyDescent="0.3">
      <c r="A67" s="1914" t="s">
        <v>1349</v>
      </c>
      <c r="B67" s="1963">
        <f t="shared" ref="B67:E67" si="8">B56+B62+B66</f>
        <v>1201071</v>
      </c>
      <c r="C67" s="1963">
        <f t="shared" si="8"/>
        <v>1237728</v>
      </c>
      <c r="D67" s="1963">
        <f t="shared" si="8"/>
        <v>1281371</v>
      </c>
      <c r="E67" s="1963">
        <f t="shared" si="8"/>
        <v>43643</v>
      </c>
    </row>
    <row r="68" spans="1:5" ht="32.25" thickTop="1" x14ac:dyDescent="0.25">
      <c r="A68" s="1917" t="s">
        <v>1350</v>
      </c>
      <c r="B68" s="1957"/>
      <c r="C68" s="1958"/>
      <c r="D68" s="1958"/>
      <c r="E68" s="1958"/>
    </row>
    <row r="69" spans="1:5" s="1926" customFormat="1" x14ac:dyDescent="0.25">
      <c r="A69" s="1916" t="s">
        <v>1351</v>
      </c>
      <c r="B69" s="1940"/>
      <c r="C69" s="1942"/>
      <c r="D69" s="1942"/>
      <c r="E69" s="1942"/>
    </row>
    <row r="70" spans="1:5" x14ac:dyDescent="0.25">
      <c r="A70" s="1913" t="s">
        <v>1352</v>
      </c>
      <c r="B70" s="1952">
        <v>246564</v>
      </c>
      <c r="C70" s="1953">
        <v>245295</v>
      </c>
      <c r="D70" s="1953">
        <f>247810-122+253</f>
        <v>247941</v>
      </c>
      <c r="E70" s="1953">
        <f t="shared" ref="E70:E72" si="9">D70-C70</f>
        <v>2646</v>
      </c>
    </row>
    <row r="71" spans="1:5" ht="39" customHeight="1" x14ac:dyDescent="0.25">
      <c r="A71" s="1933" t="s">
        <v>1353</v>
      </c>
      <c r="B71" s="1952">
        <v>491785</v>
      </c>
      <c r="C71" s="1953">
        <v>530181</v>
      </c>
      <c r="D71" s="1953">
        <v>530181</v>
      </c>
      <c r="E71" s="1953">
        <f t="shared" si="9"/>
        <v>0</v>
      </c>
    </row>
    <row r="72" spans="1:5" ht="16.5" thickBot="1" x14ac:dyDescent="0.3">
      <c r="A72" s="1934" t="s">
        <v>1354</v>
      </c>
      <c r="B72" s="1952">
        <v>881</v>
      </c>
      <c r="C72" s="1953">
        <v>826</v>
      </c>
      <c r="D72" s="1953">
        <v>830</v>
      </c>
      <c r="E72" s="1953">
        <f t="shared" si="9"/>
        <v>4</v>
      </c>
    </row>
    <row r="73" spans="1:5" ht="33" thickTop="1" thickBot="1" x14ac:dyDescent="0.3">
      <c r="A73" s="1935" t="s">
        <v>1355</v>
      </c>
      <c r="B73" s="1963">
        <f t="shared" ref="B73" si="10">SUM(B70:B72)</f>
        <v>739230</v>
      </c>
      <c r="C73" s="1963">
        <f t="shared" ref="C73:E73" si="11">SUM(C70:C72)</f>
        <v>776302</v>
      </c>
      <c r="D73" s="1963">
        <f t="shared" si="11"/>
        <v>778952</v>
      </c>
      <c r="E73" s="1963">
        <f t="shared" si="11"/>
        <v>2650</v>
      </c>
    </row>
    <row r="74" spans="1:5" ht="32.25" thickTop="1" x14ac:dyDescent="0.25">
      <c r="A74" s="1931" t="s">
        <v>1356</v>
      </c>
      <c r="B74" s="1965"/>
      <c r="C74" s="1966"/>
      <c r="D74" s="1966"/>
      <c r="E74" s="1966"/>
    </row>
    <row r="75" spans="1:5" x14ac:dyDescent="0.25">
      <c r="A75" s="1911" t="s">
        <v>1357</v>
      </c>
      <c r="B75" s="1952">
        <v>72921</v>
      </c>
      <c r="C75" s="1953">
        <v>72921</v>
      </c>
      <c r="D75" s="1953">
        <v>72921</v>
      </c>
      <c r="E75" s="1953">
        <f t="shared" ref="E75:E76" si="12">D75-C75</f>
        <v>0</v>
      </c>
    </row>
    <row r="76" spans="1:5" ht="16.5" thickBot="1" x14ac:dyDescent="0.3">
      <c r="A76" s="1912" t="s">
        <v>1358</v>
      </c>
      <c r="B76" s="1952">
        <v>142714</v>
      </c>
      <c r="C76" s="1953">
        <v>142714</v>
      </c>
      <c r="D76" s="1953">
        <v>142714</v>
      </c>
      <c r="E76" s="1953">
        <f t="shared" si="12"/>
        <v>0</v>
      </c>
    </row>
    <row r="77" spans="1:5" ht="33" thickTop="1" thickBot="1" x14ac:dyDescent="0.3">
      <c r="A77" s="1935" t="s">
        <v>1359</v>
      </c>
      <c r="B77" s="1963">
        <f t="shared" ref="B77:E77" si="13">SUM(B75:B76)</f>
        <v>215635</v>
      </c>
      <c r="C77" s="1963">
        <f t="shared" si="13"/>
        <v>215635</v>
      </c>
      <c r="D77" s="1963">
        <f t="shared" si="13"/>
        <v>215635</v>
      </c>
      <c r="E77" s="1963">
        <f t="shared" si="13"/>
        <v>0</v>
      </c>
    </row>
    <row r="78" spans="1:5" ht="33" thickTop="1" thickBot="1" x14ac:dyDescent="0.3">
      <c r="A78" s="1936" t="s">
        <v>1360</v>
      </c>
      <c r="B78" s="1967">
        <f t="shared" ref="B78:E78" si="14">B15+B46+B67+B73+B77</f>
        <v>5765036</v>
      </c>
      <c r="C78" s="1967">
        <f t="shared" si="14"/>
        <v>5835602</v>
      </c>
      <c r="D78" s="1967">
        <f t="shared" si="14"/>
        <v>5884042</v>
      </c>
      <c r="E78" s="1967">
        <f t="shared" si="14"/>
        <v>48440</v>
      </c>
    </row>
    <row r="79" spans="1:5" s="1904" customFormat="1" ht="33.6" customHeight="1" x14ac:dyDescent="0.25">
      <c r="A79" s="1937" t="s">
        <v>1361</v>
      </c>
      <c r="B79" s="1968"/>
      <c r="C79" s="1969"/>
      <c r="D79" s="1969"/>
      <c r="E79" s="1969"/>
    </row>
    <row r="80" spans="1:5" s="1904" customFormat="1" ht="34.5" customHeight="1" x14ac:dyDescent="0.25">
      <c r="A80" s="1898" t="s">
        <v>1362</v>
      </c>
      <c r="B80" s="1970"/>
      <c r="C80" s="1953">
        <v>147643</v>
      </c>
      <c r="D80" s="1953">
        <v>147022</v>
      </c>
      <c r="E80" s="1953">
        <f t="shared" ref="E80:E86" si="15">D80-C80</f>
        <v>-621</v>
      </c>
    </row>
    <row r="81" spans="1:5" s="1904" customFormat="1" ht="40.5" customHeight="1" x14ac:dyDescent="0.25">
      <c r="A81" s="1898" t="s">
        <v>1363</v>
      </c>
      <c r="B81" s="1971"/>
      <c r="C81" s="1953">
        <v>232047</v>
      </c>
      <c r="D81" s="1953">
        <v>232047</v>
      </c>
      <c r="E81" s="1953">
        <f t="shared" si="15"/>
        <v>0</v>
      </c>
    </row>
    <row r="82" spans="1:5" x14ac:dyDescent="0.25">
      <c r="A82" s="1899" t="s">
        <v>1364</v>
      </c>
      <c r="B82" s="1943">
        <v>72525</v>
      </c>
      <c r="C82" s="1953">
        <v>72525</v>
      </c>
      <c r="D82" s="1953">
        <v>72525</v>
      </c>
      <c r="E82" s="1953">
        <f t="shared" si="15"/>
        <v>0</v>
      </c>
    </row>
    <row r="83" spans="1:5" x14ac:dyDescent="0.25">
      <c r="A83" s="1899" t="s">
        <v>1365</v>
      </c>
      <c r="B83" s="1940">
        <v>150760</v>
      </c>
      <c r="C83" s="1953">
        <v>150760</v>
      </c>
      <c r="D83" s="1953">
        <v>150760</v>
      </c>
      <c r="E83" s="1953">
        <f t="shared" si="15"/>
        <v>0</v>
      </c>
    </row>
    <row r="84" spans="1:5" x14ac:dyDescent="0.25">
      <c r="A84" s="1899" t="s">
        <v>1366</v>
      </c>
      <c r="B84" s="1945">
        <v>150000</v>
      </c>
      <c r="C84" s="1953">
        <v>150000</v>
      </c>
      <c r="D84" s="1953">
        <v>150000</v>
      </c>
      <c r="E84" s="1953">
        <f t="shared" si="15"/>
        <v>0</v>
      </c>
    </row>
    <row r="85" spans="1:5" ht="33.75" customHeight="1" x14ac:dyDescent="0.25">
      <c r="A85" s="1898" t="s">
        <v>1367</v>
      </c>
      <c r="B85" s="1940"/>
      <c r="C85" s="1953">
        <v>7317</v>
      </c>
      <c r="D85" s="1953">
        <v>7317</v>
      </c>
      <c r="E85" s="1953">
        <f t="shared" si="15"/>
        <v>0</v>
      </c>
    </row>
    <row r="86" spans="1:5" s="1926" customFormat="1" ht="16.5" thickBot="1" x14ac:dyDescent="0.3">
      <c r="A86" s="1900" t="s">
        <v>1368</v>
      </c>
      <c r="B86" s="1972">
        <v>255350</v>
      </c>
      <c r="C86" s="1953">
        <v>255350</v>
      </c>
      <c r="D86" s="1953">
        <v>255350</v>
      </c>
      <c r="E86" s="1953">
        <f t="shared" si="15"/>
        <v>0</v>
      </c>
    </row>
    <row r="87" spans="1:5" s="1915" customFormat="1" ht="68.25" customHeight="1" thickTop="1" thickBot="1" x14ac:dyDescent="0.3">
      <c r="A87" s="1914" t="s">
        <v>1369</v>
      </c>
      <c r="B87" s="1956">
        <f>SUM(B80:B86)</f>
        <v>628635</v>
      </c>
      <c r="C87" s="1956">
        <f t="shared" ref="C87:E87" si="16">SUM(C80:C86)</f>
        <v>1015642</v>
      </c>
      <c r="D87" s="1956">
        <f t="shared" si="16"/>
        <v>1015021</v>
      </c>
      <c r="E87" s="1956">
        <f t="shared" si="16"/>
        <v>-621</v>
      </c>
    </row>
    <row r="88" spans="1:5" s="1915" customFormat="1" ht="54" customHeight="1" thickTop="1" thickBot="1" x14ac:dyDescent="0.3">
      <c r="A88" s="1938" t="s">
        <v>1370</v>
      </c>
      <c r="B88" s="1956">
        <f t="shared" ref="B88:E88" si="17">B78+B87</f>
        <v>6393671</v>
      </c>
      <c r="C88" s="1956">
        <f t="shared" si="17"/>
        <v>6851244</v>
      </c>
      <c r="D88" s="1956">
        <f t="shared" si="17"/>
        <v>6899063</v>
      </c>
      <c r="E88" s="1956">
        <f t="shared" si="17"/>
        <v>47819</v>
      </c>
    </row>
    <row r="89" spans="1:5" s="1915" customFormat="1" ht="31.15" customHeight="1" thickTop="1" x14ac:dyDescent="0.25">
      <c r="A89" s="1939" t="s">
        <v>1371</v>
      </c>
      <c r="B89" s="1940"/>
      <c r="C89" s="1941"/>
      <c r="D89" s="1941"/>
      <c r="E89" s="1941"/>
    </row>
    <row r="90" spans="1:5" s="1926" customFormat="1" x14ac:dyDescent="0.25">
      <c r="A90" s="1901" t="s">
        <v>1372</v>
      </c>
      <c r="B90" s="1940"/>
      <c r="C90" s="1942"/>
      <c r="D90" s="1942"/>
      <c r="E90" s="1942"/>
    </row>
    <row r="91" spans="1:5" s="1926" customFormat="1" x14ac:dyDescent="0.25">
      <c r="A91" s="1900" t="s">
        <v>1373</v>
      </c>
      <c r="B91" s="1943">
        <v>53000</v>
      </c>
      <c r="C91" s="1953">
        <v>53000</v>
      </c>
      <c r="D91" s="1944">
        <v>53000</v>
      </c>
      <c r="E91" s="1944">
        <f>C91-D91</f>
        <v>0</v>
      </c>
    </row>
    <row r="92" spans="1:5" s="1926" customFormat="1" ht="16.5" thickBot="1" x14ac:dyDescent="0.3">
      <c r="A92" s="1902" t="s">
        <v>1374</v>
      </c>
      <c r="B92" s="1945">
        <v>302075</v>
      </c>
      <c r="C92" s="1953">
        <v>302075</v>
      </c>
      <c r="D92" s="1946">
        <v>302075</v>
      </c>
      <c r="E92" s="1944">
        <f>C92-D92</f>
        <v>0</v>
      </c>
    </row>
    <row r="93" spans="1:5" s="1915" customFormat="1" ht="35.450000000000003" customHeight="1" thickTop="1" thickBot="1" x14ac:dyDescent="0.3">
      <c r="A93" s="1914" t="s">
        <v>1375</v>
      </c>
      <c r="B93" s="1956">
        <f>B78+B87+B91+B92</f>
        <v>6748746</v>
      </c>
      <c r="C93" s="1956">
        <f t="shared" ref="C93:E93" si="18">C78+C87+C91+C92</f>
        <v>7206319</v>
      </c>
      <c r="D93" s="1956">
        <f t="shared" si="18"/>
        <v>7254138</v>
      </c>
      <c r="E93" s="1956">
        <f t="shared" si="18"/>
        <v>47819</v>
      </c>
    </row>
    <row r="94" spans="1:5" ht="16.5" thickTop="1" x14ac:dyDescent="0.25"/>
  </sheetData>
  <mergeCells count="3">
    <mergeCell ref="A1:D1"/>
    <mergeCell ref="A2:D2"/>
    <mergeCell ref="A3:D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 xml:space="preserve">&amp;R &amp;"-,Normál"&amp;16 5. melléklet a 13/2023. (V.26.) önkormányzati rendelethez &amp;"Times New Roman CE,Normál"&amp;8
</oddHeader>
  </headerFooter>
  <rowBreaks count="1" manualBreakCount="1">
    <brk id="4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090C1-4E1B-4989-94AE-35937833F77D}">
  <dimension ref="A1:BI57"/>
  <sheetViews>
    <sheetView view="pageBreakPreview" zoomScale="50" zoomScaleNormal="50" zoomScaleSheetLayoutView="50" workbookViewId="0">
      <pane xSplit="1" ySplit="8" topLeftCell="AN9" activePane="bottomRight" state="frozen"/>
      <selection activeCell="C134" sqref="C134"/>
      <selection pane="topRight" activeCell="C134" sqref="C134"/>
      <selection pane="bottomLeft" activeCell="C134" sqref="C134"/>
      <selection pane="bottomRight" activeCell="C134" sqref="C134"/>
    </sheetView>
  </sheetViews>
  <sheetFormatPr defaultRowHeight="26.45" customHeight="1" x14ac:dyDescent="0.3"/>
  <cols>
    <col min="1" max="1" width="200" style="848" customWidth="1"/>
    <col min="2" max="13" width="60.83203125" style="849" customWidth="1"/>
    <col min="14" max="14" width="200.33203125" style="848" customWidth="1"/>
    <col min="15" max="26" width="60.83203125" style="849" customWidth="1"/>
    <col min="27" max="27" width="200.1640625" style="850" customWidth="1"/>
    <col min="28" max="31" width="60.83203125" style="848" customWidth="1"/>
    <col min="32" max="35" width="60.83203125" style="851" customWidth="1"/>
    <col min="36" max="39" width="60.83203125" style="848" customWidth="1"/>
    <col min="40" max="40" width="208.1640625" style="850" customWidth="1"/>
    <col min="41" max="44" width="65.83203125" style="848" customWidth="1"/>
    <col min="45" max="48" width="65.83203125" style="851" customWidth="1"/>
    <col min="49" max="253" width="9.33203125" style="826"/>
    <col min="254" max="254" width="176.6640625" style="826" customWidth="1"/>
    <col min="255" max="266" width="55" style="826" customWidth="1"/>
    <col min="267" max="267" width="176.6640625" style="826" customWidth="1"/>
    <col min="268" max="279" width="53" style="826" customWidth="1"/>
    <col min="280" max="280" width="176.5" style="826" customWidth="1"/>
    <col min="281" max="292" width="53" style="826" customWidth="1"/>
    <col min="293" max="293" width="176.5" style="826" customWidth="1"/>
    <col min="294" max="301" width="63" style="826" customWidth="1"/>
    <col min="302" max="303" width="45.1640625" style="826" customWidth="1"/>
    <col min="304" max="304" width="36.83203125" style="826" customWidth="1"/>
    <col min="305" max="509" width="9.33203125" style="826"/>
    <col min="510" max="510" width="176.6640625" style="826" customWidth="1"/>
    <col min="511" max="522" width="55" style="826" customWidth="1"/>
    <col min="523" max="523" width="176.6640625" style="826" customWidth="1"/>
    <col min="524" max="535" width="53" style="826" customWidth="1"/>
    <col min="536" max="536" width="176.5" style="826" customWidth="1"/>
    <col min="537" max="548" width="53" style="826" customWidth="1"/>
    <col min="549" max="549" width="176.5" style="826" customWidth="1"/>
    <col min="550" max="557" width="63" style="826" customWidth="1"/>
    <col min="558" max="559" width="45.1640625" style="826" customWidth="1"/>
    <col min="560" max="560" width="36.83203125" style="826" customWidth="1"/>
    <col min="561" max="765" width="9.33203125" style="826"/>
    <col min="766" max="766" width="176.6640625" style="826" customWidth="1"/>
    <col min="767" max="778" width="55" style="826" customWidth="1"/>
    <col min="779" max="779" width="176.6640625" style="826" customWidth="1"/>
    <col min="780" max="791" width="53" style="826" customWidth="1"/>
    <col min="792" max="792" width="176.5" style="826" customWidth="1"/>
    <col min="793" max="804" width="53" style="826" customWidth="1"/>
    <col min="805" max="805" width="176.5" style="826" customWidth="1"/>
    <col min="806" max="813" width="63" style="826" customWidth="1"/>
    <col min="814" max="815" width="45.1640625" style="826" customWidth="1"/>
    <col min="816" max="816" width="36.83203125" style="826" customWidth="1"/>
    <col min="817" max="1021" width="9.33203125" style="826"/>
    <col min="1022" max="1022" width="176.6640625" style="826" customWidth="1"/>
    <col min="1023" max="1034" width="55" style="826" customWidth="1"/>
    <col min="1035" max="1035" width="176.6640625" style="826" customWidth="1"/>
    <col min="1036" max="1047" width="53" style="826" customWidth="1"/>
    <col min="1048" max="1048" width="176.5" style="826" customWidth="1"/>
    <col min="1049" max="1060" width="53" style="826" customWidth="1"/>
    <col min="1061" max="1061" width="176.5" style="826" customWidth="1"/>
    <col min="1062" max="1069" width="63" style="826" customWidth="1"/>
    <col min="1070" max="1071" width="45.1640625" style="826" customWidth="1"/>
    <col min="1072" max="1072" width="36.83203125" style="826" customWidth="1"/>
    <col min="1073" max="1277" width="9.33203125" style="826"/>
    <col min="1278" max="1278" width="176.6640625" style="826" customWidth="1"/>
    <col min="1279" max="1290" width="55" style="826" customWidth="1"/>
    <col min="1291" max="1291" width="176.6640625" style="826" customWidth="1"/>
    <col min="1292" max="1303" width="53" style="826" customWidth="1"/>
    <col min="1304" max="1304" width="176.5" style="826" customWidth="1"/>
    <col min="1305" max="1316" width="53" style="826" customWidth="1"/>
    <col min="1317" max="1317" width="176.5" style="826" customWidth="1"/>
    <col min="1318" max="1325" width="63" style="826" customWidth="1"/>
    <col min="1326" max="1327" width="45.1640625" style="826" customWidth="1"/>
    <col min="1328" max="1328" width="36.83203125" style="826" customWidth="1"/>
    <col min="1329" max="1533" width="9.33203125" style="826"/>
    <col min="1534" max="1534" width="176.6640625" style="826" customWidth="1"/>
    <col min="1535" max="1546" width="55" style="826" customWidth="1"/>
    <col min="1547" max="1547" width="176.6640625" style="826" customWidth="1"/>
    <col min="1548" max="1559" width="53" style="826" customWidth="1"/>
    <col min="1560" max="1560" width="176.5" style="826" customWidth="1"/>
    <col min="1561" max="1572" width="53" style="826" customWidth="1"/>
    <col min="1573" max="1573" width="176.5" style="826" customWidth="1"/>
    <col min="1574" max="1581" width="63" style="826" customWidth="1"/>
    <col min="1582" max="1583" width="45.1640625" style="826" customWidth="1"/>
    <col min="1584" max="1584" width="36.83203125" style="826" customWidth="1"/>
    <col min="1585" max="1789" width="9.33203125" style="826"/>
    <col min="1790" max="1790" width="176.6640625" style="826" customWidth="1"/>
    <col min="1791" max="1802" width="55" style="826" customWidth="1"/>
    <col min="1803" max="1803" width="176.6640625" style="826" customWidth="1"/>
    <col min="1804" max="1815" width="53" style="826" customWidth="1"/>
    <col min="1816" max="1816" width="176.5" style="826" customWidth="1"/>
    <col min="1817" max="1828" width="53" style="826" customWidth="1"/>
    <col min="1829" max="1829" width="176.5" style="826" customWidth="1"/>
    <col min="1830" max="1837" width="63" style="826" customWidth="1"/>
    <col min="1838" max="1839" width="45.1640625" style="826" customWidth="1"/>
    <col min="1840" max="1840" width="36.83203125" style="826" customWidth="1"/>
    <col min="1841" max="2045" width="9.33203125" style="826"/>
    <col min="2046" max="2046" width="176.6640625" style="826" customWidth="1"/>
    <col min="2047" max="2058" width="55" style="826" customWidth="1"/>
    <col min="2059" max="2059" width="176.6640625" style="826" customWidth="1"/>
    <col min="2060" max="2071" width="53" style="826" customWidth="1"/>
    <col min="2072" max="2072" width="176.5" style="826" customWidth="1"/>
    <col min="2073" max="2084" width="53" style="826" customWidth="1"/>
    <col min="2085" max="2085" width="176.5" style="826" customWidth="1"/>
    <col min="2086" max="2093" width="63" style="826" customWidth="1"/>
    <col min="2094" max="2095" width="45.1640625" style="826" customWidth="1"/>
    <col min="2096" max="2096" width="36.83203125" style="826" customWidth="1"/>
    <col min="2097" max="2301" width="9.33203125" style="826"/>
    <col min="2302" max="2302" width="176.6640625" style="826" customWidth="1"/>
    <col min="2303" max="2314" width="55" style="826" customWidth="1"/>
    <col min="2315" max="2315" width="176.6640625" style="826" customWidth="1"/>
    <col min="2316" max="2327" width="53" style="826" customWidth="1"/>
    <col min="2328" max="2328" width="176.5" style="826" customWidth="1"/>
    <col min="2329" max="2340" width="53" style="826" customWidth="1"/>
    <col min="2341" max="2341" width="176.5" style="826" customWidth="1"/>
    <col min="2342" max="2349" width="63" style="826" customWidth="1"/>
    <col min="2350" max="2351" width="45.1640625" style="826" customWidth="1"/>
    <col min="2352" max="2352" width="36.83203125" style="826" customWidth="1"/>
    <col min="2353" max="2557" width="9.33203125" style="826"/>
    <col min="2558" max="2558" width="176.6640625" style="826" customWidth="1"/>
    <col min="2559" max="2570" width="55" style="826" customWidth="1"/>
    <col min="2571" max="2571" width="176.6640625" style="826" customWidth="1"/>
    <col min="2572" max="2583" width="53" style="826" customWidth="1"/>
    <col min="2584" max="2584" width="176.5" style="826" customWidth="1"/>
    <col min="2585" max="2596" width="53" style="826" customWidth="1"/>
    <col min="2597" max="2597" width="176.5" style="826" customWidth="1"/>
    <col min="2598" max="2605" width="63" style="826" customWidth="1"/>
    <col min="2606" max="2607" width="45.1640625" style="826" customWidth="1"/>
    <col min="2608" max="2608" width="36.83203125" style="826" customWidth="1"/>
    <col min="2609" max="2813" width="9.33203125" style="826"/>
    <col min="2814" max="2814" width="176.6640625" style="826" customWidth="1"/>
    <col min="2815" max="2826" width="55" style="826" customWidth="1"/>
    <col min="2827" max="2827" width="176.6640625" style="826" customWidth="1"/>
    <col min="2828" max="2839" width="53" style="826" customWidth="1"/>
    <col min="2840" max="2840" width="176.5" style="826" customWidth="1"/>
    <col min="2841" max="2852" width="53" style="826" customWidth="1"/>
    <col min="2853" max="2853" width="176.5" style="826" customWidth="1"/>
    <col min="2854" max="2861" width="63" style="826" customWidth="1"/>
    <col min="2862" max="2863" width="45.1640625" style="826" customWidth="1"/>
    <col min="2864" max="2864" width="36.83203125" style="826" customWidth="1"/>
    <col min="2865" max="3069" width="9.33203125" style="826"/>
    <col min="3070" max="3070" width="176.6640625" style="826" customWidth="1"/>
    <col min="3071" max="3082" width="55" style="826" customWidth="1"/>
    <col min="3083" max="3083" width="176.6640625" style="826" customWidth="1"/>
    <col min="3084" max="3095" width="53" style="826" customWidth="1"/>
    <col min="3096" max="3096" width="176.5" style="826" customWidth="1"/>
    <col min="3097" max="3108" width="53" style="826" customWidth="1"/>
    <col min="3109" max="3109" width="176.5" style="826" customWidth="1"/>
    <col min="3110" max="3117" width="63" style="826" customWidth="1"/>
    <col min="3118" max="3119" width="45.1640625" style="826" customWidth="1"/>
    <col min="3120" max="3120" width="36.83203125" style="826" customWidth="1"/>
    <col min="3121" max="3325" width="9.33203125" style="826"/>
    <col min="3326" max="3326" width="176.6640625" style="826" customWidth="1"/>
    <col min="3327" max="3338" width="55" style="826" customWidth="1"/>
    <col min="3339" max="3339" width="176.6640625" style="826" customWidth="1"/>
    <col min="3340" max="3351" width="53" style="826" customWidth="1"/>
    <col min="3352" max="3352" width="176.5" style="826" customWidth="1"/>
    <col min="3353" max="3364" width="53" style="826" customWidth="1"/>
    <col min="3365" max="3365" width="176.5" style="826" customWidth="1"/>
    <col min="3366" max="3373" width="63" style="826" customWidth="1"/>
    <col min="3374" max="3375" width="45.1640625" style="826" customWidth="1"/>
    <col min="3376" max="3376" width="36.83203125" style="826" customWidth="1"/>
    <col min="3377" max="3581" width="9.33203125" style="826"/>
    <col min="3582" max="3582" width="176.6640625" style="826" customWidth="1"/>
    <col min="3583" max="3594" width="55" style="826" customWidth="1"/>
    <col min="3595" max="3595" width="176.6640625" style="826" customWidth="1"/>
    <col min="3596" max="3607" width="53" style="826" customWidth="1"/>
    <col min="3608" max="3608" width="176.5" style="826" customWidth="1"/>
    <col min="3609" max="3620" width="53" style="826" customWidth="1"/>
    <col min="3621" max="3621" width="176.5" style="826" customWidth="1"/>
    <col min="3622" max="3629" width="63" style="826" customWidth="1"/>
    <col min="3630" max="3631" width="45.1640625" style="826" customWidth="1"/>
    <col min="3632" max="3632" width="36.83203125" style="826" customWidth="1"/>
    <col min="3633" max="3837" width="9.33203125" style="826"/>
    <col min="3838" max="3838" width="176.6640625" style="826" customWidth="1"/>
    <col min="3839" max="3850" width="55" style="826" customWidth="1"/>
    <col min="3851" max="3851" width="176.6640625" style="826" customWidth="1"/>
    <col min="3852" max="3863" width="53" style="826" customWidth="1"/>
    <col min="3864" max="3864" width="176.5" style="826" customWidth="1"/>
    <col min="3865" max="3876" width="53" style="826" customWidth="1"/>
    <col min="3877" max="3877" width="176.5" style="826" customWidth="1"/>
    <col min="3878" max="3885" width="63" style="826" customWidth="1"/>
    <col min="3886" max="3887" width="45.1640625" style="826" customWidth="1"/>
    <col min="3888" max="3888" width="36.83203125" style="826" customWidth="1"/>
    <col min="3889" max="4093" width="9.33203125" style="826"/>
    <col min="4094" max="4094" width="176.6640625" style="826" customWidth="1"/>
    <col min="4095" max="4106" width="55" style="826" customWidth="1"/>
    <col min="4107" max="4107" width="176.6640625" style="826" customWidth="1"/>
    <col min="4108" max="4119" width="53" style="826" customWidth="1"/>
    <col min="4120" max="4120" width="176.5" style="826" customWidth="1"/>
    <col min="4121" max="4132" width="53" style="826" customWidth="1"/>
    <col min="4133" max="4133" width="176.5" style="826" customWidth="1"/>
    <col min="4134" max="4141" width="63" style="826" customWidth="1"/>
    <col min="4142" max="4143" width="45.1640625" style="826" customWidth="1"/>
    <col min="4144" max="4144" width="36.83203125" style="826" customWidth="1"/>
    <col min="4145" max="4349" width="9.33203125" style="826"/>
    <col min="4350" max="4350" width="176.6640625" style="826" customWidth="1"/>
    <col min="4351" max="4362" width="55" style="826" customWidth="1"/>
    <col min="4363" max="4363" width="176.6640625" style="826" customWidth="1"/>
    <col min="4364" max="4375" width="53" style="826" customWidth="1"/>
    <col min="4376" max="4376" width="176.5" style="826" customWidth="1"/>
    <col min="4377" max="4388" width="53" style="826" customWidth="1"/>
    <col min="4389" max="4389" width="176.5" style="826" customWidth="1"/>
    <col min="4390" max="4397" width="63" style="826" customWidth="1"/>
    <col min="4398" max="4399" width="45.1640625" style="826" customWidth="1"/>
    <col min="4400" max="4400" width="36.83203125" style="826" customWidth="1"/>
    <col min="4401" max="4605" width="9.33203125" style="826"/>
    <col min="4606" max="4606" width="176.6640625" style="826" customWidth="1"/>
    <col min="4607" max="4618" width="55" style="826" customWidth="1"/>
    <col min="4619" max="4619" width="176.6640625" style="826" customWidth="1"/>
    <col min="4620" max="4631" width="53" style="826" customWidth="1"/>
    <col min="4632" max="4632" width="176.5" style="826" customWidth="1"/>
    <col min="4633" max="4644" width="53" style="826" customWidth="1"/>
    <col min="4645" max="4645" width="176.5" style="826" customWidth="1"/>
    <col min="4646" max="4653" width="63" style="826" customWidth="1"/>
    <col min="4654" max="4655" width="45.1640625" style="826" customWidth="1"/>
    <col min="4656" max="4656" width="36.83203125" style="826" customWidth="1"/>
    <col min="4657" max="4861" width="9.33203125" style="826"/>
    <col min="4862" max="4862" width="176.6640625" style="826" customWidth="1"/>
    <col min="4863" max="4874" width="55" style="826" customWidth="1"/>
    <col min="4875" max="4875" width="176.6640625" style="826" customWidth="1"/>
    <col min="4876" max="4887" width="53" style="826" customWidth="1"/>
    <col min="4888" max="4888" width="176.5" style="826" customWidth="1"/>
    <col min="4889" max="4900" width="53" style="826" customWidth="1"/>
    <col min="4901" max="4901" width="176.5" style="826" customWidth="1"/>
    <col min="4902" max="4909" width="63" style="826" customWidth="1"/>
    <col min="4910" max="4911" width="45.1640625" style="826" customWidth="1"/>
    <col min="4912" max="4912" width="36.83203125" style="826" customWidth="1"/>
    <col min="4913" max="5117" width="9.33203125" style="826"/>
    <col min="5118" max="5118" width="176.6640625" style="826" customWidth="1"/>
    <col min="5119" max="5130" width="55" style="826" customWidth="1"/>
    <col min="5131" max="5131" width="176.6640625" style="826" customWidth="1"/>
    <col min="5132" max="5143" width="53" style="826" customWidth="1"/>
    <col min="5144" max="5144" width="176.5" style="826" customWidth="1"/>
    <col min="5145" max="5156" width="53" style="826" customWidth="1"/>
    <col min="5157" max="5157" width="176.5" style="826" customWidth="1"/>
    <col min="5158" max="5165" width="63" style="826" customWidth="1"/>
    <col min="5166" max="5167" width="45.1640625" style="826" customWidth="1"/>
    <col min="5168" max="5168" width="36.83203125" style="826" customWidth="1"/>
    <col min="5169" max="5373" width="9.33203125" style="826"/>
    <col min="5374" max="5374" width="176.6640625" style="826" customWidth="1"/>
    <col min="5375" max="5386" width="55" style="826" customWidth="1"/>
    <col min="5387" max="5387" width="176.6640625" style="826" customWidth="1"/>
    <col min="5388" max="5399" width="53" style="826" customWidth="1"/>
    <col min="5400" max="5400" width="176.5" style="826" customWidth="1"/>
    <col min="5401" max="5412" width="53" style="826" customWidth="1"/>
    <col min="5413" max="5413" width="176.5" style="826" customWidth="1"/>
    <col min="5414" max="5421" width="63" style="826" customWidth="1"/>
    <col min="5422" max="5423" width="45.1640625" style="826" customWidth="1"/>
    <col min="5424" max="5424" width="36.83203125" style="826" customWidth="1"/>
    <col min="5425" max="5629" width="9.33203125" style="826"/>
    <col min="5630" max="5630" width="176.6640625" style="826" customWidth="1"/>
    <col min="5631" max="5642" width="55" style="826" customWidth="1"/>
    <col min="5643" max="5643" width="176.6640625" style="826" customWidth="1"/>
    <col min="5644" max="5655" width="53" style="826" customWidth="1"/>
    <col min="5656" max="5656" width="176.5" style="826" customWidth="1"/>
    <col min="5657" max="5668" width="53" style="826" customWidth="1"/>
    <col min="5669" max="5669" width="176.5" style="826" customWidth="1"/>
    <col min="5670" max="5677" width="63" style="826" customWidth="1"/>
    <col min="5678" max="5679" width="45.1640625" style="826" customWidth="1"/>
    <col min="5680" max="5680" width="36.83203125" style="826" customWidth="1"/>
    <col min="5681" max="5885" width="9.33203125" style="826"/>
    <col min="5886" max="5886" width="176.6640625" style="826" customWidth="1"/>
    <col min="5887" max="5898" width="55" style="826" customWidth="1"/>
    <col min="5899" max="5899" width="176.6640625" style="826" customWidth="1"/>
    <col min="5900" max="5911" width="53" style="826" customWidth="1"/>
    <col min="5912" max="5912" width="176.5" style="826" customWidth="1"/>
    <col min="5913" max="5924" width="53" style="826" customWidth="1"/>
    <col min="5925" max="5925" width="176.5" style="826" customWidth="1"/>
    <col min="5926" max="5933" width="63" style="826" customWidth="1"/>
    <col min="5934" max="5935" width="45.1640625" style="826" customWidth="1"/>
    <col min="5936" max="5936" width="36.83203125" style="826" customWidth="1"/>
    <col min="5937" max="6141" width="9.33203125" style="826"/>
    <col min="6142" max="6142" width="176.6640625" style="826" customWidth="1"/>
    <col min="6143" max="6154" width="55" style="826" customWidth="1"/>
    <col min="6155" max="6155" width="176.6640625" style="826" customWidth="1"/>
    <col min="6156" max="6167" width="53" style="826" customWidth="1"/>
    <col min="6168" max="6168" width="176.5" style="826" customWidth="1"/>
    <col min="6169" max="6180" width="53" style="826" customWidth="1"/>
    <col min="6181" max="6181" width="176.5" style="826" customWidth="1"/>
    <col min="6182" max="6189" width="63" style="826" customWidth="1"/>
    <col min="6190" max="6191" width="45.1640625" style="826" customWidth="1"/>
    <col min="6192" max="6192" width="36.83203125" style="826" customWidth="1"/>
    <col min="6193" max="6397" width="9.33203125" style="826"/>
    <col min="6398" max="6398" width="176.6640625" style="826" customWidth="1"/>
    <col min="6399" max="6410" width="55" style="826" customWidth="1"/>
    <col min="6411" max="6411" width="176.6640625" style="826" customWidth="1"/>
    <col min="6412" max="6423" width="53" style="826" customWidth="1"/>
    <col min="6424" max="6424" width="176.5" style="826" customWidth="1"/>
    <col min="6425" max="6436" width="53" style="826" customWidth="1"/>
    <col min="6437" max="6437" width="176.5" style="826" customWidth="1"/>
    <col min="6438" max="6445" width="63" style="826" customWidth="1"/>
    <col min="6446" max="6447" width="45.1640625" style="826" customWidth="1"/>
    <col min="6448" max="6448" width="36.83203125" style="826" customWidth="1"/>
    <col min="6449" max="6653" width="9.33203125" style="826"/>
    <col min="6654" max="6654" width="176.6640625" style="826" customWidth="1"/>
    <col min="6655" max="6666" width="55" style="826" customWidth="1"/>
    <col min="6667" max="6667" width="176.6640625" style="826" customWidth="1"/>
    <col min="6668" max="6679" width="53" style="826" customWidth="1"/>
    <col min="6680" max="6680" width="176.5" style="826" customWidth="1"/>
    <col min="6681" max="6692" width="53" style="826" customWidth="1"/>
    <col min="6693" max="6693" width="176.5" style="826" customWidth="1"/>
    <col min="6694" max="6701" width="63" style="826" customWidth="1"/>
    <col min="6702" max="6703" width="45.1640625" style="826" customWidth="1"/>
    <col min="6704" max="6704" width="36.83203125" style="826" customWidth="1"/>
    <col min="6705" max="6909" width="9.33203125" style="826"/>
    <col min="6910" max="6910" width="176.6640625" style="826" customWidth="1"/>
    <col min="6911" max="6922" width="55" style="826" customWidth="1"/>
    <col min="6923" max="6923" width="176.6640625" style="826" customWidth="1"/>
    <col min="6924" max="6935" width="53" style="826" customWidth="1"/>
    <col min="6936" max="6936" width="176.5" style="826" customWidth="1"/>
    <col min="6937" max="6948" width="53" style="826" customWidth="1"/>
    <col min="6949" max="6949" width="176.5" style="826" customWidth="1"/>
    <col min="6950" max="6957" width="63" style="826" customWidth="1"/>
    <col min="6958" max="6959" width="45.1640625" style="826" customWidth="1"/>
    <col min="6960" max="6960" width="36.83203125" style="826" customWidth="1"/>
    <col min="6961" max="7165" width="9.33203125" style="826"/>
    <col min="7166" max="7166" width="176.6640625" style="826" customWidth="1"/>
    <col min="7167" max="7178" width="55" style="826" customWidth="1"/>
    <col min="7179" max="7179" width="176.6640625" style="826" customWidth="1"/>
    <col min="7180" max="7191" width="53" style="826" customWidth="1"/>
    <col min="7192" max="7192" width="176.5" style="826" customWidth="1"/>
    <col min="7193" max="7204" width="53" style="826" customWidth="1"/>
    <col min="7205" max="7205" width="176.5" style="826" customWidth="1"/>
    <col min="7206" max="7213" width="63" style="826" customWidth="1"/>
    <col min="7214" max="7215" width="45.1640625" style="826" customWidth="1"/>
    <col min="7216" max="7216" width="36.83203125" style="826" customWidth="1"/>
    <col min="7217" max="7421" width="9.33203125" style="826"/>
    <col min="7422" max="7422" width="176.6640625" style="826" customWidth="1"/>
    <col min="7423" max="7434" width="55" style="826" customWidth="1"/>
    <col min="7435" max="7435" width="176.6640625" style="826" customWidth="1"/>
    <col min="7436" max="7447" width="53" style="826" customWidth="1"/>
    <col min="7448" max="7448" width="176.5" style="826" customWidth="1"/>
    <col min="7449" max="7460" width="53" style="826" customWidth="1"/>
    <col min="7461" max="7461" width="176.5" style="826" customWidth="1"/>
    <col min="7462" max="7469" width="63" style="826" customWidth="1"/>
    <col min="7470" max="7471" width="45.1640625" style="826" customWidth="1"/>
    <col min="7472" max="7472" width="36.83203125" style="826" customWidth="1"/>
    <col min="7473" max="7677" width="9.33203125" style="826"/>
    <col min="7678" max="7678" width="176.6640625" style="826" customWidth="1"/>
    <col min="7679" max="7690" width="55" style="826" customWidth="1"/>
    <col min="7691" max="7691" width="176.6640625" style="826" customWidth="1"/>
    <col min="7692" max="7703" width="53" style="826" customWidth="1"/>
    <col min="7704" max="7704" width="176.5" style="826" customWidth="1"/>
    <col min="7705" max="7716" width="53" style="826" customWidth="1"/>
    <col min="7717" max="7717" width="176.5" style="826" customWidth="1"/>
    <col min="7718" max="7725" width="63" style="826" customWidth="1"/>
    <col min="7726" max="7727" width="45.1640625" style="826" customWidth="1"/>
    <col min="7728" max="7728" width="36.83203125" style="826" customWidth="1"/>
    <col min="7729" max="7933" width="9.33203125" style="826"/>
    <col min="7934" max="7934" width="176.6640625" style="826" customWidth="1"/>
    <col min="7935" max="7946" width="55" style="826" customWidth="1"/>
    <col min="7947" max="7947" width="176.6640625" style="826" customWidth="1"/>
    <col min="7948" max="7959" width="53" style="826" customWidth="1"/>
    <col min="7960" max="7960" width="176.5" style="826" customWidth="1"/>
    <col min="7961" max="7972" width="53" style="826" customWidth="1"/>
    <col min="7973" max="7973" width="176.5" style="826" customWidth="1"/>
    <col min="7974" max="7981" width="63" style="826" customWidth="1"/>
    <col min="7982" max="7983" width="45.1640625" style="826" customWidth="1"/>
    <col min="7984" max="7984" width="36.83203125" style="826" customWidth="1"/>
    <col min="7985" max="8189" width="9.33203125" style="826"/>
    <col min="8190" max="8190" width="176.6640625" style="826" customWidth="1"/>
    <col min="8191" max="8202" width="55" style="826" customWidth="1"/>
    <col min="8203" max="8203" width="176.6640625" style="826" customWidth="1"/>
    <col min="8204" max="8215" width="53" style="826" customWidth="1"/>
    <col min="8216" max="8216" width="176.5" style="826" customWidth="1"/>
    <col min="8217" max="8228" width="53" style="826" customWidth="1"/>
    <col min="8229" max="8229" width="176.5" style="826" customWidth="1"/>
    <col min="8230" max="8237" width="63" style="826" customWidth="1"/>
    <col min="8238" max="8239" width="45.1640625" style="826" customWidth="1"/>
    <col min="8240" max="8240" width="36.83203125" style="826" customWidth="1"/>
    <col min="8241" max="8445" width="9.33203125" style="826"/>
    <col min="8446" max="8446" width="176.6640625" style="826" customWidth="1"/>
    <col min="8447" max="8458" width="55" style="826" customWidth="1"/>
    <col min="8459" max="8459" width="176.6640625" style="826" customWidth="1"/>
    <col min="8460" max="8471" width="53" style="826" customWidth="1"/>
    <col min="8472" max="8472" width="176.5" style="826" customWidth="1"/>
    <col min="8473" max="8484" width="53" style="826" customWidth="1"/>
    <col min="8485" max="8485" width="176.5" style="826" customWidth="1"/>
    <col min="8486" max="8493" width="63" style="826" customWidth="1"/>
    <col min="8494" max="8495" width="45.1640625" style="826" customWidth="1"/>
    <col min="8496" max="8496" width="36.83203125" style="826" customWidth="1"/>
    <col min="8497" max="8701" width="9.33203125" style="826"/>
    <col min="8702" max="8702" width="176.6640625" style="826" customWidth="1"/>
    <col min="8703" max="8714" width="55" style="826" customWidth="1"/>
    <col min="8715" max="8715" width="176.6640625" style="826" customWidth="1"/>
    <col min="8716" max="8727" width="53" style="826" customWidth="1"/>
    <col min="8728" max="8728" width="176.5" style="826" customWidth="1"/>
    <col min="8729" max="8740" width="53" style="826" customWidth="1"/>
    <col min="8741" max="8741" width="176.5" style="826" customWidth="1"/>
    <col min="8742" max="8749" width="63" style="826" customWidth="1"/>
    <col min="8750" max="8751" width="45.1640625" style="826" customWidth="1"/>
    <col min="8752" max="8752" width="36.83203125" style="826" customWidth="1"/>
    <col min="8753" max="8957" width="9.33203125" style="826"/>
    <col min="8958" max="8958" width="176.6640625" style="826" customWidth="1"/>
    <col min="8959" max="8970" width="55" style="826" customWidth="1"/>
    <col min="8971" max="8971" width="176.6640625" style="826" customWidth="1"/>
    <col min="8972" max="8983" width="53" style="826" customWidth="1"/>
    <col min="8984" max="8984" width="176.5" style="826" customWidth="1"/>
    <col min="8985" max="8996" width="53" style="826" customWidth="1"/>
    <col min="8997" max="8997" width="176.5" style="826" customWidth="1"/>
    <col min="8998" max="9005" width="63" style="826" customWidth="1"/>
    <col min="9006" max="9007" width="45.1640625" style="826" customWidth="1"/>
    <col min="9008" max="9008" width="36.83203125" style="826" customWidth="1"/>
    <col min="9009" max="9213" width="9.33203125" style="826"/>
    <col min="9214" max="9214" width="176.6640625" style="826" customWidth="1"/>
    <col min="9215" max="9226" width="55" style="826" customWidth="1"/>
    <col min="9227" max="9227" width="176.6640625" style="826" customWidth="1"/>
    <col min="9228" max="9239" width="53" style="826" customWidth="1"/>
    <col min="9240" max="9240" width="176.5" style="826" customWidth="1"/>
    <col min="9241" max="9252" width="53" style="826" customWidth="1"/>
    <col min="9253" max="9253" width="176.5" style="826" customWidth="1"/>
    <col min="9254" max="9261" width="63" style="826" customWidth="1"/>
    <col min="9262" max="9263" width="45.1640625" style="826" customWidth="1"/>
    <col min="9264" max="9264" width="36.83203125" style="826" customWidth="1"/>
    <col min="9265" max="9469" width="9.33203125" style="826"/>
    <col min="9470" max="9470" width="176.6640625" style="826" customWidth="1"/>
    <col min="9471" max="9482" width="55" style="826" customWidth="1"/>
    <col min="9483" max="9483" width="176.6640625" style="826" customWidth="1"/>
    <col min="9484" max="9495" width="53" style="826" customWidth="1"/>
    <col min="9496" max="9496" width="176.5" style="826" customWidth="1"/>
    <col min="9497" max="9508" width="53" style="826" customWidth="1"/>
    <col min="9509" max="9509" width="176.5" style="826" customWidth="1"/>
    <col min="9510" max="9517" width="63" style="826" customWidth="1"/>
    <col min="9518" max="9519" width="45.1640625" style="826" customWidth="1"/>
    <col min="9520" max="9520" width="36.83203125" style="826" customWidth="1"/>
    <col min="9521" max="9725" width="9.33203125" style="826"/>
    <col min="9726" max="9726" width="176.6640625" style="826" customWidth="1"/>
    <col min="9727" max="9738" width="55" style="826" customWidth="1"/>
    <col min="9739" max="9739" width="176.6640625" style="826" customWidth="1"/>
    <col min="9740" max="9751" width="53" style="826" customWidth="1"/>
    <col min="9752" max="9752" width="176.5" style="826" customWidth="1"/>
    <col min="9753" max="9764" width="53" style="826" customWidth="1"/>
    <col min="9765" max="9765" width="176.5" style="826" customWidth="1"/>
    <col min="9766" max="9773" width="63" style="826" customWidth="1"/>
    <col min="9774" max="9775" width="45.1640625" style="826" customWidth="1"/>
    <col min="9776" max="9776" width="36.83203125" style="826" customWidth="1"/>
    <col min="9777" max="9981" width="9.33203125" style="826"/>
    <col min="9982" max="9982" width="176.6640625" style="826" customWidth="1"/>
    <col min="9983" max="9994" width="55" style="826" customWidth="1"/>
    <col min="9995" max="9995" width="176.6640625" style="826" customWidth="1"/>
    <col min="9996" max="10007" width="53" style="826" customWidth="1"/>
    <col min="10008" max="10008" width="176.5" style="826" customWidth="1"/>
    <col min="10009" max="10020" width="53" style="826" customWidth="1"/>
    <col min="10021" max="10021" width="176.5" style="826" customWidth="1"/>
    <col min="10022" max="10029" width="63" style="826" customWidth="1"/>
    <col min="10030" max="10031" width="45.1640625" style="826" customWidth="1"/>
    <col min="10032" max="10032" width="36.83203125" style="826" customWidth="1"/>
    <col min="10033" max="10237" width="9.33203125" style="826"/>
    <col min="10238" max="10238" width="176.6640625" style="826" customWidth="1"/>
    <col min="10239" max="10250" width="55" style="826" customWidth="1"/>
    <col min="10251" max="10251" width="176.6640625" style="826" customWidth="1"/>
    <col min="10252" max="10263" width="53" style="826" customWidth="1"/>
    <col min="10264" max="10264" width="176.5" style="826" customWidth="1"/>
    <col min="10265" max="10276" width="53" style="826" customWidth="1"/>
    <col min="10277" max="10277" width="176.5" style="826" customWidth="1"/>
    <col min="10278" max="10285" width="63" style="826" customWidth="1"/>
    <col min="10286" max="10287" width="45.1640625" style="826" customWidth="1"/>
    <col min="10288" max="10288" width="36.83203125" style="826" customWidth="1"/>
    <col min="10289" max="10493" width="9.33203125" style="826"/>
    <col min="10494" max="10494" width="176.6640625" style="826" customWidth="1"/>
    <col min="10495" max="10506" width="55" style="826" customWidth="1"/>
    <col min="10507" max="10507" width="176.6640625" style="826" customWidth="1"/>
    <col min="10508" max="10519" width="53" style="826" customWidth="1"/>
    <col min="10520" max="10520" width="176.5" style="826" customWidth="1"/>
    <col min="10521" max="10532" width="53" style="826" customWidth="1"/>
    <col min="10533" max="10533" width="176.5" style="826" customWidth="1"/>
    <col min="10534" max="10541" width="63" style="826" customWidth="1"/>
    <col min="10542" max="10543" width="45.1640625" style="826" customWidth="1"/>
    <col min="10544" max="10544" width="36.83203125" style="826" customWidth="1"/>
    <col min="10545" max="10749" width="9.33203125" style="826"/>
    <col min="10750" max="10750" width="176.6640625" style="826" customWidth="1"/>
    <col min="10751" max="10762" width="55" style="826" customWidth="1"/>
    <col min="10763" max="10763" width="176.6640625" style="826" customWidth="1"/>
    <col min="10764" max="10775" width="53" style="826" customWidth="1"/>
    <col min="10776" max="10776" width="176.5" style="826" customWidth="1"/>
    <col min="10777" max="10788" width="53" style="826" customWidth="1"/>
    <col min="10789" max="10789" width="176.5" style="826" customWidth="1"/>
    <col min="10790" max="10797" width="63" style="826" customWidth="1"/>
    <col min="10798" max="10799" width="45.1640625" style="826" customWidth="1"/>
    <col min="10800" max="10800" width="36.83203125" style="826" customWidth="1"/>
    <col min="10801" max="11005" width="9.33203125" style="826"/>
    <col min="11006" max="11006" width="176.6640625" style="826" customWidth="1"/>
    <col min="11007" max="11018" width="55" style="826" customWidth="1"/>
    <col min="11019" max="11019" width="176.6640625" style="826" customWidth="1"/>
    <col min="11020" max="11031" width="53" style="826" customWidth="1"/>
    <col min="11032" max="11032" width="176.5" style="826" customWidth="1"/>
    <col min="11033" max="11044" width="53" style="826" customWidth="1"/>
    <col min="11045" max="11045" width="176.5" style="826" customWidth="1"/>
    <col min="11046" max="11053" width="63" style="826" customWidth="1"/>
    <col min="11054" max="11055" width="45.1640625" style="826" customWidth="1"/>
    <col min="11056" max="11056" width="36.83203125" style="826" customWidth="1"/>
    <col min="11057" max="11261" width="9.33203125" style="826"/>
    <col min="11262" max="11262" width="176.6640625" style="826" customWidth="1"/>
    <col min="11263" max="11274" width="55" style="826" customWidth="1"/>
    <col min="11275" max="11275" width="176.6640625" style="826" customWidth="1"/>
    <col min="11276" max="11287" width="53" style="826" customWidth="1"/>
    <col min="11288" max="11288" width="176.5" style="826" customWidth="1"/>
    <col min="11289" max="11300" width="53" style="826" customWidth="1"/>
    <col min="11301" max="11301" width="176.5" style="826" customWidth="1"/>
    <col min="11302" max="11309" width="63" style="826" customWidth="1"/>
    <col min="11310" max="11311" width="45.1640625" style="826" customWidth="1"/>
    <col min="11312" max="11312" width="36.83203125" style="826" customWidth="1"/>
    <col min="11313" max="11517" width="9.33203125" style="826"/>
    <col min="11518" max="11518" width="176.6640625" style="826" customWidth="1"/>
    <col min="11519" max="11530" width="55" style="826" customWidth="1"/>
    <col min="11531" max="11531" width="176.6640625" style="826" customWidth="1"/>
    <col min="11532" max="11543" width="53" style="826" customWidth="1"/>
    <col min="11544" max="11544" width="176.5" style="826" customWidth="1"/>
    <col min="11545" max="11556" width="53" style="826" customWidth="1"/>
    <col min="11557" max="11557" width="176.5" style="826" customWidth="1"/>
    <col min="11558" max="11565" width="63" style="826" customWidth="1"/>
    <col min="11566" max="11567" width="45.1640625" style="826" customWidth="1"/>
    <col min="11568" max="11568" width="36.83203125" style="826" customWidth="1"/>
    <col min="11569" max="11773" width="9.33203125" style="826"/>
    <col min="11774" max="11774" width="176.6640625" style="826" customWidth="1"/>
    <col min="11775" max="11786" width="55" style="826" customWidth="1"/>
    <col min="11787" max="11787" width="176.6640625" style="826" customWidth="1"/>
    <col min="11788" max="11799" width="53" style="826" customWidth="1"/>
    <col min="11800" max="11800" width="176.5" style="826" customWidth="1"/>
    <col min="11801" max="11812" width="53" style="826" customWidth="1"/>
    <col min="11813" max="11813" width="176.5" style="826" customWidth="1"/>
    <col min="11814" max="11821" width="63" style="826" customWidth="1"/>
    <col min="11822" max="11823" width="45.1640625" style="826" customWidth="1"/>
    <col min="11824" max="11824" width="36.83203125" style="826" customWidth="1"/>
    <col min="11825" max="12029" width="9.33203125" style="826"/>
    <col min="12030" max="12030" width="176.6640625" style="826" customWidth="1"/>
    <col min="12031" max="12042" width="55" style="826" customWidth="1"/>
    <col min="12043" max="12043" width="176.6640625" style="826" customWidth="1"/>
    <col min="12044" max="12055" width="53" style="826" customWidth="1"/>
    <col min="12056" max="12056" width="176.5" style="826" customWidth="1"/>
    <col min="12057" max="12068" width="53" style="826" customWidth="1"/>
    <col min="12069" max="12069" width="176.5" style="826" customWidth="1"/>
    <col min="12070" max="12077" width="63" style="826" customWidth="1"/>
    <col min="12078" max="12079" width="45.1640625" style="826" customWidth="1"/>
    <col min="12080" max="12080" width="36.83203125" style="826" customWidth="1"/>
    <col min="12081" max="12285" width="9.33203125" style="826"/>
    <col min="12286" max="12286" width="176.6640625" style="826" customWidth="1"/>
    <col min="12287" max="12298" width="55" style="826" customWidth="1"/>
    <col min="12299" max="12299" width="176.6640625" style="826" customWidth="1"/>
    <col min="12300" max="12311" width="53" style="826" customWidth="1"/>
    <col min="12312" max="12312" width="176.5" style="826" customWidth="1"/>
    <col min="12313" max="12324" width="53" style="826" customWidth="1"/>
    <col min="12325" max="12325" width="176.5" style="826" customWidth="1"/>
    <col min="12326" max="12333" width="63" style="826" customWidth="1"/>
    <col min="12334" max="12335" width="45.1640625" style="826" customWidth="1"/>
    <col min="12336" max="12336" width="36.83203125" style="826" customWidth="1"/>
    <col min="12337" max="12541" width="9.33203125" style="826"/>
    <col min="12542" max="12542" width="176.6640625" style="826" customWidth="1"/>
    <col min="12543" max="12554" width="55" style="826" customWidth="1"/>
    <col min="12555" max="12555" width="176.6640625" style="826" customWidth="1"/>
    <col min="12556" max="12567" width="53" style="826" customWidth="1"/>
    <col min="12568" max="12568" width="176.5" style="826" customWidth="1"/>
    <col min="12569" max="12580" width="53" style="826" customWidth="1"/>
    <col min="12581" max="12581" width="176.5" style="826" customWidth="1"/>
    <col min="12582" max="12589" width="63" style="826" customWidth="1"/>
    <col min="12590" max="12591" width="45.1640625" style="826" customWidth="1"/>
    <col min="12592" max="12592" width="36.83203125" style="826" customWidth="1"/>
    <col min="12593" max="12797" width="9.33203125" style="826"/>
    <col min="12798" max="12798" width="176.6640625" style="826" customWidth="1"/>
    <col min="12799" max="12810" width="55" style="826" customWidth="1"/>
    <col min="12811" max="12811" width="176.6640625" style="826" customWidth="1"/>
    <col min="12812" max="12823" width="53" style="826" customWidth="1"/>
    <col min="12824" max="12824" width="176.5" style="826" customWidth="1"/>
    <col min="12825" max="12836" width="53" style="826" customWidth="1"/>
    <col min="12837" max="12837" width="176.5" style="826" customWidth="1"/>
    <col min="12838" max="12845" width="63" style="826" customWidth="1"/>
    <col min="12846" max="12847" width="45.1640625" style="826" customWidth="1"/>
    <col min="12848" max="12848" width="36.83203125" style="826" customWidth="1"/>
    <col min="12849" max="13053" width="9.33203125" style="826"/>
    <col min="13054" max="13054" width="176.6640625" style="826" customWidth="1"/>
    <col min="13055" max="13066" width="55" style="826" customWidth="1"/>
    <col min="13067" max="13067" width="176.6640625" style="826" customWidth="1"/>
    <col min="13068" max="13079" width="53" style="826" customWidth="1"/>
    <col min="13080" max="13080" width="176.5" style="826" customWidth="1"/>
    <col min="13081" max="13092" width="53" style="826" customWidth="1"/>
    <col min="13093" max="13093" width="176.5" style="826" customWidth="1"/>
    <col min="13094" max="13101" width="63" style="826" customWidth="1"/>
    <col min="13102" max="13103" width="45.1640625" style="826" customWidth="1"/>
    <col min="13104" max="13104" width="36.83203125" style="826" customWidth="1"/>
    <col min="13105" max="13309" width="9.33203125" style="826"/>
    <col min="13310" max="13310" width="176.6640625" style="826" customWidth="1"/>
    <col min="13311" max="13322" width="55" style="826" customWidth="1"/>
    <col min="13323" max="13323" width="176.6640625" style="826" customWidth="1"/>
    <col min="13324" max="13335" width="53" style="826" customWidth="1"/>
    <col min="13336" max="13336" width="176.5" style="826" customWidth="1"/>
    <col min="13337" max="13348" width="53" style="826" customWidth="1"/>
    <col min="13349" max="13349" width="176.5" style="826" customWidth="1"/>
    <col min="13350" max="13357" width="63" style="826" customWidth="1"/>
    <col min="13358" max="13359" width="45.1640625" style="826" customWidth="1"/>
    <col min="13360" max="13360" width="36.83203125" style="826" customWidth="1"/>
    <col min="13361" max="13565" width="9.33203125" style="826"/>
    <col min="13566" max="13566" width="176.6640625" style="826" customWidth="1"/>
    <col min="13567" max="13578" width="55" style="826" customWidth="1"/>
    <col min="13579" max="13579" width="176.6640625" style="826" customWidth="1"/>
    <col min="13580" max="13591" width="53" style="826" customWidth="1"/>
    <col min="13592" max="13592" width="176.5" style="826" customWidth="1"/>
    <col min="13593" max="13604" width="53" style="826" customWidth="1"/>
    <col min="13605" max="13605" width="176.5" style="826" customWidth="1"/>
    <col min="13606" max="13613" width="63" style="826" customWidth="1"/>
    <col min="13614" max="13615" width="45.1640625" style="826" customWidth="1"/>
    <col min="13616" max="13616" width="36.83203125" style="826" customWidth="1"/>
    <col min="13617" max="13821" width="9.33203125" style="826"/>
    <col min="13822" max="13822" width="176.6640625" style="826" customWidth="1"/>
    <col min="13823" max="13834" width="55" style="826" customWidth="1"/>
    <col min="13835" max="13835" width="176.6640625" style="826" customWidth="1"/>
    <col min="13836" max="13847" width="53" style="826" customWidth="1"/>
    <col min="13848" max="13848" width="176.5" style="826" customWidth="1"/>
    <col min="13849" max="13860" width="53" style="826" customWidth="1"/>
    <col min="13861" max="13861" width="176.5" style="826" customWidth="1"/>
    <col min="13862" max="13869" width="63" style="826" customWidth="1"/>
    <col min="13870" max="13871" width="45.1640625" style="826" customWidth="1"/>
    <col min="13872" max="13872" width="36.83203125" style="826" customWidth="1"/>
    <col min="13873" max="14077" width="9.33203125" style="826"/>
    <col min="14078" max="14078" width="176.6640625" style="826" customWidth="1"/>
    <col min="14079" max="14090" width="55" style="826" customWidth="1"/>
    <col min="14091" max="14091" width="176.6640625" style="826" customWidth="1"/>
    <col min="14092" max="14103" width="53" style="826" customWidth="1"/>
    <col min="14104" max="14104" width="176.5" style="826" customWidth="1"/>
    <col min="14105" max="14116" width="53" style="826" customWidth="1"/>
    <col min="14117" max="14117" width="176.5" style="826" customWidth="1"/>
    <col min="14118" max="14125" width="63" style="826" customWidth="1"/>
    <col min="14126" max="14127" width="45.1640625" style="826" customWidth="1"/>
    <col min="14128" max="14128" width="36.83203125" style="826" customWidth="1"/>
    <col min="14129" max="14333" width="9.33203125" style="826"/>
    <col min="14334" max="14334" width="176.6640625" style="826" customWidth="1"/>
    <col min="14335" max="14346" width="55" style="826" customWidth="1"/>
    <col min="14347" max="14347" width="176.6640625" style="826" customWidth="1"/>
    <col min="14348" max="14359" width="53" style="826" customWidth="1"/>
    <col min="14360" max="14360" width="176.5" style="826" customWidth="1"/>
    <col min="14361" max="14372" width="53" style="826" customWidth="1"/>
    <col min="14373" max="14373" width="176.5" style="826" customWidth="1"/>
    <col min="14374" max="14381" width="63" style="826" customWidth="1"/>
    <col min="14382" max="14383" width="45.1640625" style="826" customWidth="1"/>
    <col min="14384" max="14384" width="36.83203125" style="826" customWidth="1"/>
    <col min="14385" max="14589" width="9.33203125" style="826"/>
    <col min="14590" max="14590" width="176.6640625" style="826" customWidth="1"/>
    <col min="14591" max="14602" width="55" style="826" customWidth="1"/>
    <col min="14603" max="14603" width="176.6640625" style="826" customWidth="1"/>
    <col min="14604" max="14615" width="53" style="826" customWidth="1"/>
    <col min="14616" max="14616" width="176.5" style="826" customWidth="1"/>
    <col min="14617" max="14628" width="53" style="826" customWidth="1"/>
    <col min="14629" max="14629" width="176.5" style="826" customWidth="1"/>
    <col min="14630" max="14637" width="63" style="826" customWidth="1"/>
    <col min="14638" max="14639" width="45.1640625" style="826" customWidth="1"/>
    <col min="14640" max="14640" width="36.83203125" style="826" customWidth="1"/>
    <col min="14641" max="14845" width="9.33203125" style="826"/>
    <col min="14846" max="14846" width="176.6640625" style="826" customWidth="1"/>
    <col min="14847" max="14858" width="55" style="826" customWidth="1"/>
    <col min="14859" max="14859" width="176.6640625" style="826" customWidth="1"/>
    <col min="14860" max="14871" width="53" style="826" customWidth="1"/>
    <col min="14872" max="14872" width="176.5" style="826" customWidth="1"/>
    <col min="14873" max="14884" width="53" style="826" customWidth="1"/>
    <col min="14885" max="14885" width="176.5" style="826" customWidth="1"/>
    <col min="14886" max="14893" width="63" style="826" customWidth="1"/>
    <col min="14894" max="14895" width="45.1640625" style="826" customWidth="1"/>
    <col min="14896" max="14896" width="36.83203125" style="826" customWidth="1"/>
    <col min="14897" max="15101" width="9.33203125" style="826"/>
    <col min="15102" max="15102" width="176.6640625" style="826" customWidth="1"/>
    <col min="15103" max="15114" width="55" style="826" customWidth="1"/>
    <col min="15115" max="15115" width="176.6640625" style="826" customWidth="1"/>
    <col min="15116" max="15127" width="53" style="826" customWidth="1"/>
    <col min="15128" max="15128" width="176.5" style="826" customWidth="1"/>
    <col min="15129" max="15140" width="53" style="826" customWidth="1"/>
    <col min="15141" max="15141" width="176.5" style="826" customWidth="1"/>
    <col min="15142" max="15149" width="63" style="826" customWidth="1"/>
    <col min="15150" max="15151" width="45.1640625" style="826" customWidth="1"/>
    <col min="15152" max="15152" width="36.83203125" style="826" customWidth="1"/>
    <col min="15153" max="15357" width="9.33203125" style="826"/>
    <col min="15358" max="15358" width="176.6640625" style="826" customWidth="1"/>
    <col min="15359" max="15370" width="55" style="826" customWidth="1"/>
    <col min="15371" max="15371" width="176.6640625" style="826" customWidth="1"/>
    <col min="15372" max="15383" width="53" style="826" customWidth="1"/>
    <col min="15384" max="15384" width="176.5" style="826" customWidth="1"/>
    <col min="15385" max="15396" width="53" style="826" customWidth="1"/>
    <col min="15397" max="15397" width="176.5" style="826" customWidth="1"/>
    <col min="15398" max="15405" width="63" style="826" customWidth="1"/>
    <col min="15406" max="15407" width="45.1640625" style="826" customWidth="1"/>
    <col min="15408" max="15408" width="36.83203125" style="826" customWidth="1"/>
    <col min="15409" max="15613" width="9.33203125" style="826"/>
    <col min="15614" max="15614" width="176.6640625" style="826" customWidth="1"/>
    <col min="15615" max="15626" width="55" style="826" customWidth="1"/>
    <col min="15627" max="15627" width="176.6640625" style="826" customWidth="1"/>
    <col min="15628" max="15639" width="53" style="826" customWidth="1"/>
    <col min="15640" max="15640" width="176.5" style="826" customWidth="1"/>
    <col min="15641" max="15652" width="53" style="826" customWidth="1"/>
    <col min="15653" max="15653" width="176.5" style="826" customWidth="1"/>
    <col min="15654" max="15661" width="63" style="826" customWidth="1"/>
    <col min="15662" max="15663" width="45.1640625" style="826" customWidth="1"/>
    <col min="15664" max="15664" width="36.83203125" style="826" customWidth="1"/>
    <col min="15665" max="15869" width="9.33203125" style="826"/>
    <col min="15870" max="15870" width="176.6640625" style="826" customWidth="1"/>
    <col min="15871" max="15882" width="55" style="826" customWidth="1"/>
    <col min="15883" max="15883" width="176.6640625" style="826" customWidth="1"/>
    <col min="15884" max="15895" width="53" style="826" customWidth="1"/>
    <col min="15896" max="15896" width="176.5" style="826" customWidth="1"/>
    <col min="15897" max="15908" width="53" style="826" customWidth="1"/>
    <col min="15909" max="15909" width="176.5" style="826" customWidth="1"/>
    <col min="15910" max="15917" width="63" style="826" customWidth="1"/>
    <col min="15918" max="15919" width="45.1640625" style="826" customWidth="1"/>
    <col min="15920" max="15920" width="36.83203125" style="826" customWidth="1"/>
    <col min="15921" max="16125" width="9.33203125" style="826"/>
    <col min="16126" max="16126" width="176.6640625" style="826" customWidth="1"/>
    <col min="16127" max="16138" width="55" style="826" customWidth="1"/>
    <col min="16139" max="16139" width="176.6640625" style="826" customWidth="1"/>
    <col min="16140" max="16151" width="53" style="826" customWidth="1"/>
    <col min="16152" max="16152" width="176.5" style="826" customWidth="1"/>
    <col min="16153" max="16164" width="53" style="826" customWidth="1"/>
    <col min="16165" max="16165" width="176.5" style="826" customWidth="1"/>
    <col min="16166" max="16173" width="63" style="826" customWidth="1"/>
    <col min="16174" max="16175" width="45.1640625" style="826" customWidth="1"/>
    <col min="16176" max="16176" width="36.83203125" style="826" customWidth="1"/>
    <col min="16177" max="16384" width="9.33203125" style="826"/>
  </cols>
  <sheetData>
    <row r="1" spans="1:61" ht="38.25" customHeight="1" x14ac:dyDescent="0.35">
      <c r="A1" s="822"/>
      <c r="B1" s="823"/>
      <c r="C1" s="823"/>
      <c r="D1" s="823"/>
      <c r="E1" s="823"/>
      <c r="F1" s="823"/>
      <c r="G1" s="823"/>
      <c r="H1" s="823"/>
      <c r="I1" s="823"/>
      <c r="J1" s="823"/>
      <c r="K1" s="823"/>
      <c r="L1" s="823"/>
      <c r="M1" s="823"/>
      <c r="N1" s="822"/>
      <c r="O1" s="823"/>
      <c r="P1" s="823"/>
      <c r="Q1" s="823"/>
      <c r="R1" s="823"/>
      <c r="S1" s="823"/>
      <c r="T1" s="823"/>
      <c r="U1" s="823"/>
      <c r="V1" s="823"/>
      <c r="W1" s="823"/>
      <c r="X1" s="823"/>
      <c r="Y1" s="823"/>
      <c r="Z1" s="823"/>
      <c r="AA1" s="824"/>
      <c r="AB1" s="822"/>
      <c r="AC1" s="822"/>
      <c r="AD1" s="822"/>
      <c r="AE1" s="822"/>
      <c r="AF1" s="822"/>
      <c r="AG1" s="822"/>
      <c r="AH1" s="822"/>
      <c r="AI1" s="822"/>
      <c r="AJ1" s="822"/>
      <c r="AK1" s="822"/>
      <c r="AL1" s="822"/>
      <c r="AM1" s="822"/>
      <c r="AN1" s="824"/>
      <c r="AO1" s="822"/>
      <c r="AP1" s="822"/>
      <c r="AQ1" s="822"/>
      <c r="AR1" s="822"/>
      <c r="AS1" s="822"/>
      <c r="AT1" s="822"/>
      <c r="AU1" s="822"/>
      <c r="AV1" s="822"/>
      <c r="AW1" s="825"/>
      <c r="AX1" s="825"/>
      <c r="AY1" s="825"/>
      <c r="AZ1" s="825"/>
      <c r="BA1" s="825"/>
      <c r="BB1" s="825"/>
      <c r="BC1" s="825"/>
      <c r="BD1" s="825"/>
      <c r="BE1" s="825"/>
      <c r="BF1" s="825"/>
      <c r="BG1" s="825"/>
      <c r="BH1" s="825"/>
      <c r="BI1" s="825"/>
    </row>
    <row r="2" spans="1:61" s="828" customFormat="1" ht="54" customHeight="1" x14ac:dyDescent="0.7">
      <c r="A2" s="2044" t="s">
        <v>666</v>
      </c>
      <c r="B2" s="2044"/>
      <c r="C2" s="2044"/>
      <c r="D2" s="2044"/>
      <c r="E2" s="2044"/>
      <c r="F2" s="2044"/>
      <c r="G2" s="2044"/>
      <c r="H2" s="2044"/>
      <c r="I2" s="2044"/>
      <c r="J2" s="2044"/>
      <c r="K2" s="2044"/>
      <c r="L2" s="2044"/>
      <c r="M2" s="2044"/>
      <c r="N2" s="2044" t="s">
        <v>666</v>
      </c>
      <c r="O2" s="2044"/>
      <c r="P2" s="2044"/>
      <c r="Q2" s="2044"/>
      <c r="R2" s="2044"/>
      <c r="S2" s="2044"/>
      <c r="T2" s="2044"/>
      <c r="U2" s="2044"/>
      <c r="V2" s="2044"/>
      <c r="W2" s="2044"/>
      <c r="X2" s="2044"/>
      <c r="Y2" s="2044"/>
      <c r="Z2" s="2044"/>
      <c r="AA2" s="2044" t="s">
        <v>666</v>
      </c>
      <c r="AB2" s="2044"/>
      <c r="AC2" s="2044"/>
      <c r="AD2" s="2044"/>
      <c r="AE2" s="2044"/>
      <c r="AF2" s="2044"/>
      <c r="AG2" s="2044"/>
      <c r="AH2" s="2044"/>
      <c r="AI2" s="2044"/>
      <c r="AJ2" s="2044"/>
      <c r="AK2" s="2044"/>
      <c r="AL2" s="2044"/>
      <c r="AM2" s="2044"/>
      <c r="AN2" s="2044" t="s">
        <v>666</v>
      </c>
      <c r="AO2" s="2044"/>
      <c r="AP2" s="2044"/>
      <c r="AQ2" s="2044"/>
      <c r="AR2" s="2044"/>
      <c r="AS2" s="2044"/>
      <c r="AT2" s="2044"/>
      <c r="AU2" s="2044"/>
      <c r="AV2" s="2044"/>
      <c r="AW2" s="827"/>
      <c r="AX2" s="827"/>
      <c r="AY2" s="827"/>
      <c r="AZ2" s="827"/>
      <c r="BA2" s="827"/>
      <c r="BB2" s="827"/>
      <c r="BC2" s="827"/>
      <c r="BD2" s="827"/>
      <c r="BE2" s="827"/>
      <c r="BF2" s="827"/>
      <c r="BG2" s="827"/>
      <c r="BH2" s="827"/>
      <c r="BI2" s="827"/>
    </row>
    <row r="3" spans="1:61" s="828" customFormat="1" ht="54" customHeight="1" x14ac:dyDescent="0.7">
      <c r="A3" s="2044" t="s">
        <v>1250</v>
      </c>
      <c r="B3" s="2044"/>
      <c r="C3" s="2044"/>
      <c r="D3" s="2044"/>
      <c r="E3" s="2044"/>
      <c r="F3" s="2044"/>
      <c r="G3" s="2044"/>
      <c r="H3" s="2044"/>
      <c r="I3" s="2044"/>
      <c r="J3" s="2044"/>
      <c r="K3" s="2044"/>
      <c r="L3" s="2044"/>
      <c r="M3" s="2044"/>
      <c r="N3" s="2044" t="s">
        <v>1250</v>
      </c>
      <c r="O3" s="2044"/>
      <c r="P3" s="2044"/>
      <c r="Q3" s="2044"/>
      <c r="R3" s="2044"/>
      <c r="S3" s="2044"/>
      <c r="T3" s="2044"/>
      <c r="U3" s="2044"/>
      <c r="V3" s="2044"/>
      <c r="W3" s="2044"/>
      <c r="X3" s="2044"/>
      <c r="Y3" s="2044"/>
      <c r="Z3" s="2044"/>
      <c r="AA3" s="2044" t="s">
        <v>1250</v>
      </c>
      <c r="AB3" s="2044"/>
      <c r="AC3" s="2044"/>
      <c r="AD3" s="2044"/>
      <c r="AE3" s="2044"/>
      <c r="AF3" s="2044"/>
      <c r="AG3" s="2044"/>
      <c r="AH3" s="2044"/>
      <c r="AI3" s="2044"/>
      <c r="AJ3" s="2044"/>
      <c r="AK3" s="2044"/>
      <c r="AL3" s="2044"/>
      <c r="AM3" s="2044"/>
      <c r="AN3" s="2044" t="s">
        <v>1250</v>
      </c>
      <c r="AO3" s="2044"/>
      <c r="AP3" s="2044"/>
      <c r="AQ3" s="2044"/>
      <c r="AR3" s="2044"/>
      <c r="AS3" s="2044"/>
      <c r="AT3" s="2044"/>
      <c r="AU3" s="2044"/>
      <c r="AV3" s="2044"/>
      <c r="AW3" s="827"/>
      <c r="AX3" s="827"/>
      <c r="AY3" s="827"/>
      <c r="AZ3" s="827"/>
      <c r="BA3" s="827"/>
      <c r="BB3" s="827"/>
      <c r="BC3" s="827"/>
      <c r="BD3" s="827"/>
      <c r="BE3" s="827"/>
      <c r="BF3" s="827"/>
      <c r="BG3" s="827"/>
      <c r="BH3" s="827"/>
      <c r="BI3" s="827"/>
    </row>
    <row r="4" spans="1:61" ht="62.25" customHeight="1" thickBot="1" x14ac:dyDescent="0.4">
      <c r="A4" s="822"/>
      <c r="B4" s="823"/>
      <c r="C4" s="823"/>
      <c r="D4" s="823"/>
      <c r="E4" s="823"/>
      <c r="F4" s="823"/>
      <c r="G4" s="823"/>
      <c r="H4" s="823"/>
      <c r="I4" s="823"/>
      <c r="J4" s="823"/>
      <c r="K4" s="823"/>
      <c r="L4" s="823"/>
      <c r="M4" s="823"/>
      <c r="N4" s="822"/>
      <c r="O4" s="823"/>
      <c r="P4" s="823"/>
      <c r="Q4" s="823"/>
      <c r="R4" s="823"/>
      <c r="S4" s="823"/>
      <c r="T4" s="823"/>
      <c r="U4" s="823"/>
      <c r="V4" s="823"/>
      <c r="W4" s="823"/>
      <c r="X4" s="823"/>
      <c r="Y4" s="823"/>
      <c r="Z4" s="823"/>
      <c r="AA4" s="824"/>
      <c r="AB4" s="822"/>
      <c r="AC4" s="822"/>
      <c r="AD4" s="822"/>
      <c r="AE4" s="822"/>
      <c r="AF4" s="822"/>
      <c r="AG4" s="822"/>
      <c r="AH4" s="822"/>
      <c r="AI4" s="822"/>
      <c r="AJ4" s="822"/>
      <c r="AK4" s="822"/>
      <c r="AL4" s="822"/>
      <c r="AM4" s="822"/>
      <c r="AN4" s="824"/>
      <c r="AO4" s="822"/>
      <c r="AP4" s="822"/>
      <c r="AQ4" s="822"/>
      <c r="AR4" s="822"/>
      <c r="AS4" s="822"/>
      <c r="AT4" s="822"/>
      <c r="AU4" s="822"/>
      <c r="AV4" s="822"/>
      <c r="AW4" s="825"/>
      <c r="AX4" s="825"/>
      <c r="AY4" s="825"/>
      <c r="AZ4" s="825"/>
      <c r="BA4" s="825"/>
      <c r="BB4" s="825"/>
      <c r="BC4" s="825"/>
      <c r="BD4" s="825"/>
      <c r="BE4" s="825"/>
      <c r="BF4" s="825"/>
      <c r="BG4" s="825"/>
      <c r="BH4" s="825"/>
      <c r="BI4" s="825"/>
    </row>
    <row r="5" spans="1:61" s="1646" customFormat="1" ht="55.5" customHeight="1" x14ac:dyDescent="0.65">
      <c r="A5" s="1643"/>
      <c r="B5" s="2035" t="s">
        <v>1133</v>
      </c>
      <c r="C5" s="2036"/>
      <c r="D5" s="2036"/>
      <c r="E5" s="2037"/>
      <c r="F5" s="2045" t="s">
        <v>1136</v>
      </c>
      <c r="G5" s="2046"/>
      <c r="H5" s="2046"/>
      <c r="I5" s="2047"/>
      <c r="J5" s="2035" t="s">
        <v>1251</v>
      </c>
      <c r="K5" s="2036"/>
      <c r="L5" s="2036"/>
      <c r="M5" s="2037"/>
      <c r="N5" s="1643"/>
      <c r="O5" s="2035" t="s">
        <v>1143</v>
      </c>
      <c r="P5" s="2036"/>
      <c r="Q5" s="2036"/>
      <c r="R5" s="2037"/>
      <c r="S5" s="2035" t="s">
        <v>1145</v>
      </c>
      <c r="T5" s="2036"/>
      <c r="U5" s="2036"/>
      <c r="V5" s="2037"/>
      <c r="W5" s="2035" t="s">
        <v>1147</v>
      </c>
      <c r="X5" s="2036"/>
      <c r="Y5" s="2036"/>
      <c r="Z5" s="2037"/>
      <c r="AA5" s="1644"/>
      <c r="AB5" s="2035" t="s">
        <v>190</v>
      </c>
      <c r="AC5" s="2036"/>
      <c r="AD5" s="2036"/>
      <c r="AE5" s="2037"/>
      <c r="AF5" s="2035" t="s">
        <v>1153</v>
      </c>
      <c r="AG5" s="2036"/>
      <c r="AH5" s="2036"/>
      <c r="AI5" s="2037"/>
      <c r="AJ5" s="2035" t="s">
        <v>1157</v>
      </c>
      <c r="AK5" s="2036"/>
      <c r="AL5" s="2036"/>
      <c r="AM5" s="2037"/>
      <c r="AN5" s="1644"/>
      <c r="AO5" s="2035" t="s">
        <v>1159</v>
      </c>
      <c r="AP5" s="2036"/>
      <c r="AQ5" s="2036"/>
      <c r="AR5" s="2037"/>
      <c r="AS5" s="2035" t="s">
        <v>1252</v>
      </c>
      <c r="AT5" s="2036"/>
      <c r="AU5" s="2036"/>
      <c r="AV5" s="2037"/>
      <c r="AW5" s="1645"/>
      <c r="AX5" s="1645"/>
      <c r="AY5" s="1645"/>
      <c r="AZ5" s="1645"/>
      <c r="BA5" s="1645"/>
      <c r="BB5" s="1645"/>
      <c r="BC5" s="1645"/>
      <c r="BD5" s="1645"/>
      <c r="BE5" s="1645"/>
      <c r="BF5" s="1645"/>
      <c r="BG5" s="1645"/>
      <c r="BH5" s="1645"/>
      <c r="BI5" s="1645"/>
    </row>
    <row r="6" spans="1:61" s="1646" customFormat="1" ht="54" customHeight="1" x14ac:dyDescent="0.65">
      <c r="A6" s="1647"/>
      <c r="B6" s="2038"/>
      <c r="C6" s="2039"/>
      <c r="D6" s="2039"/>
      <c r="E6" s="2040"/>
      <c r="F6" s="2048"/>
      <c r="G6" s="2049"/>
      <c r="H6" s="2049"/>
      <c r="I6" s="2050"/>
      <c r="J6" s="2038"/>
      <c r="K6" s="2039"/>
      <c r="L6" s="2039"/>
      <c r="M6" s="2040"/>
      <c r="N6" s="1647"/>
      <c r="O6" s="2038"/>
      <c r="P6" s="2039"/>
      <c r="Q6" s="2039"/>
      <c r="R6" s="2040"/>
      <c r="S6" s="2038"/>
      <c r="T6" s="2039"/>
      <c r="U6" s="2039"/>
      <c r="V6" s="2040"/>
      <c r="W6" s="2038"/>
      <c r="X6" s="2039"/>
      <c r="Y6" s="2039"/>
      <c r="Z6" s="2040"/>
      <c r="AA6" s="1649"/>
      <c r="AB6" s="2038"/>
      <c r="AC6" s="2039"/>
      <c r="AD6" s="2039"/>
      <c r="AE6" s="2040"/>
      <c r="AF6" s="2038"/>
      <c r="AG6" s="2039"/>
      <c r="AH6" s="2039"/>
      <c r="AI6" s="2040"/>
      <c r="AJ6" s="2038"/>
      <c r="AK6" s="2039"/>
      <c r="AL6" s="2039"/>
      <c r="AM6" s="2040"/>
      <c r="AN6" s="1649"/>
      <c r="AO6" s="2038"/>
      <c r="AP6" s="2039"/>
      <c r="AQ6" s="2039"/>
      <c r="AR6" s="2040"/>
      <c r="AS6" s="2038"/>
      <c r="AT6" s="2039"/>
      <c r="AU6" s="2039"/>
      <c r="AV6" s="2040"/>
      <c r="AW6" s="1645"/>
      <c r="AX6" s="1645"/>
      <c r="AY6" s="1645"/>
      <c r="AZ6" s="1645"/>
      <c r="BA6" s="1645"/>
      <c r="BB6" s="1645"/>
      <c r="BC6" s="1645"/>
      <c r="BD6" s="1645"/>
      <c r="BE6" s="1645"/>
      <c r="BF6" s="1645"/>
      <c r="BG6" s="1645"/>
      <c r="BH6" s="1645"/>
      <c r="BI6" s="1645"/>
    </row>
    <row r="7" spans="1:61" s="1651" customFormat="1" ht="106.5" customHeight="1" thickBot="1" x14ac:dyDescent="0.7">
      <c r="A7" s="1648" t="s">
        <v>1206</v>
      </c>
      <c r="B7" s="2041"/>
      <c r="C7" s="2042"/>
      <c r="D7" s="2042"/>
      <c r="E7" s="2043"/>
      <c r="F7" s="2051"/>
      <c r="G7" s="2052"/>
      <c r="H7" s="2052"/>
      <c r="I7" s="2053"/>
      <c r="J7" s="2041"/>
      <c r="K7" s="2042"/>
      <c r="L7" s="2042"/>
      <c r="M7" s="2043"/>
      <c r="N7" s="1648" t="s">
        <v>1206</v>
      </c>
      <c r="O7" s="2041"/>
      <c r="P7" s="2042"/>
      <c r="Q7" s="2042"/>
      <c r="R7" s="2043"/>
      <c r="S7" s="2041"/>
      <c r="T7" s="2042"/>
      <c r="U7" s="2042"/>
      <c r="V7" s="2043"/>
      <c r="W7" s="2041"/>
      <c r="X7" s="2042"/>
      <c r="Y7" s="2042"/>
      <c r="Z7" s="2043"/>
      <c r="AA7" s="1648" t="s">
        <v>1206</v>
      </c>
      <c r="AB7" s="2041"/>
      <c r="AC7" s="2042"/>
      <c r="AD7" s="2042"/>
      <c r="AE7" s="2043"/>
      <c r="AF7" s="2041"/>
      <c r="AG7" s="2042"/>
      <c r="AH7" s="2042"/>
      <c r="AI7" s="2043"/>
      <c r="AJ7" s="2041"/>
      <c r="AK7" s="2042"/>
      <c r="AL7" s="2042"/>
      <c r="AM7" s="2043"/>
      <c r="AN7" s="1648" t="s">
        <v>1206</v>
      </c>
      <c r="AO7" s="2041"/>
      <c r="AP7" s="2042"/>
      <c r="AQ7" s="2042"/>
      <c r="AR7" s="2043"/>
      <c r="AS7" s="2041"/>
      <c r="AT7" s="2042"/>
      <c r="AU7" s="2042"/>
      <c r="AV7" s="2043"/>
      <c r="AW7" s="1650"/>
      <c r="AX7" s="1650"/>
      <c r="AY7" s="1650"/>
      <c r="AZ7" s="1650"/>
      <c r="BA7" s="1650"/>
      <c r="BB7" s="1650"/>
      <c r="BC7" s="1650"/>
      <c r="BD7" s="1650"/>
      <c r="BE7" s="1650"/>
      <c r="BF7" s="1650"/>
      <c r="BG7" s="1650"/>
      <c r="BH7" s="1650"/>
      <c r="BI7" s="1650"/>
    </row>
    <row r="8" spans="1:61" s="830" customFormat="1" ht="139.5" customHeight="1" thickBot="1" x14ac:dyDescent="0.65">
      <c r="A8" s="809">
        <v>2022</v>
      </c>
      <c r="B8" s="1567" t="s">
        <v>1209</v>
      </c>
      <c r="C8" s="1567" t="s">
        <v>1210</v>
      </c>
      <c r="D8" s="1567" t="s">
        <v>100</v>
      </c>
      <c r="E8" s="1567" t="s">
        <v>1253</v>
      </c>
      <c r="F8" s="1567" t="s">
        <v>1209</v>
      </c>
      <c r="G8" s="1567" t="s">
        <v>1210</v>
      </c>
      <c r="H8" s="1567" t="s">
        <v>100</v>
      </c>
      <c r="I8" s="1567" t="s">
        <v>1253</v>
      </c>
      <c r="J8" s="1567" t="s">
        <v>1209</v>
      </c>
      <c r="K8" s="1567" t="s">
        <v>1210</v>
      </c>
      <c r="L8" s="1567" t="s">
        <v>100</v>
      </c>
      <c r="M8" s="1567" t="s">
        <v>1253</v>
      </c>
      <c r="N8" s="809">
        <v>2022</v>
      </c>
      <c r="O8" s="1567" t="s">
        <v>1209</v>
      </c>
      <c r="P8" s="1567" t="s">
        <v>1210</v>
      </c>
      <c r="Q8" s="1567" t="s">
        <v>100</v>
      </c>
      <c r="R8" s="1567" t="s">
        <v>1253</v>
      </c>
      <c r="S8" s="1567" t="s">
        <v>1209</v>
      </c>
      <c r="T8" s="1567" t="s">
        <v>1210</v>
      </c>
      <c r="U8" s="1567" t="s">
        <v>100</v>
      </c>
      <c r="V8" s="1567" t="s">
        <v>1253</v>
      </c>
      <c r="W8" s="1567" t="s">
        <v>1209</v>
      </c>
      <c r="X8" s="1567" t="s">
        <v>1210</v>
      </c>
      <c r="Y8" s="1567" t="s">
        <v>100</v>
      </c>
      <c r="Z8" s="1567" t="s">
        <v>1253</v>
      </c>
      <c r="AA8" s="809">
        <v>2022</v>
      </c>
      <c r="AB8" s="1567" t="s">
        <v>1209</v>
      </c>
      <c r="AC8" s="1567" t="s">
        <v>1210</v>
      </c>
      <c r="AD8" s="1567" t="s">
        <v>100</v>
      </c>
      <c r="AE8" s="1567" t="s">
        <v>1253</v>
      </c>
      <c r="AF8" s="1567" t="s">
        <v>1209</v>
      </c>
      <c r="AG8" s="1567" t="s">
        <v>1210</v>
      </c>
      <c r="AH8" s="1567" t="s">
        <v>100</v>
      </c>
      <c r="AI8" s="1567" t="s">
        <v>1253</v>
      </c>
      <c r="AJ8" s="1567" t="s">
        <v>1209</v>
      </c>
      <c r="AK8" s="1567" t="s">
        <v>1210</v>
      </c>
      <c r="AL8" s="1567" t="s">
        <v>100</v>
      </c>
      <c r="AM8" s="1567" t="s">
        <v>1253</v>
      </c>
      <c r="AN8" s="809">
        <v>2022</v>
      </c>
      <c r="AO8" s="1567" t="s">
        <v>1209</v>
      </c>
      <c r="AP8" s="1567" t="s">
        <v>1210</v>
      </c>
      <c r="AQ8" s="1567" t="s">
        <v>100</v>
      </c>
      <c r="AR8" s="1567" t="s">
        <v>1253</v>
      </c>
      <c r="AS8" s="1567" t="s">
        <v>1209</v>
      </c>
      <c r="AT8" s="1567" t="s">
        <v>1210</v>
      </c>
      <c r="AU8" s="1567" t="s">
        <v>100</v>
      </c>
      <c r="AV8" s="1567" t="s">
        <v>1253</v>
      </c>
      <c r="AW8" s="829"/>
      <c r="AX8" s="829"/>
      <c r="AY8" s="829"/>
      <c r="AZ8" s="829"/>
      <c r="BA8" s="829"/>
      <c r="BB8" s="829"/>
      <c r="BC8" s="829"/>
      <c r="BD8" s="829"/>
      <c r="BE8" s="829"/>
      <c r="BF8" s="829"/>
      <c r="BG8" s="829"/>
      <c r="BH8" s="829"/>
      <c r="BI8" s="829"/>
    </row>
    <row r="9" spans="1:61" s="832" customFormat="1" ht="45.75" customHeight="1" x14ac:dyDescent="0.6">
      <c r="A9" s="812" t="s">
        <v>1212</v>
      </c>
      <c r="B9" s="813"/>
      <c r="C9" s="813"/>
      <c r="D9" s="813"/>
      <c r="E9" s="813"/>
      <c r="F9" s="813"/>
      <c r="G9" s="813"/>
      <c r="H9" s="813"/>
      <c r="I9" s="813"/>
      <c r="J9" s="813"/>
      <c r="K9" s="813"/>
      <c r="L9" s="813"/>
      <c r="M9" s="813"/>
      <c r="N9" s="812" t="s">
        <v>1212</v>
      </c>
      <c r="O9" s="813"/>
      <c r="P9" s="813"/>
      <c r="Q9" s="813"/>
      <c r="R9" s="813"/>
      <c r="S9" s="813"/>
      <c r="T9" s="813"/>
      <c r="U9" s="813"/>
      <c r="V9" s="813"/>
      <c r="W9" s="813"/>
      <c r="X9" s="813"/>
      <c r="Y9" s="813"/>
      <c r="Z9" s="813"/>
      <c r="AA9" s="812" t="s">
        <v>1212</v>
      </c>
      <c r="AB9" s="812"/>
      <c r="AC9" s="812"/>
      <c r="AD9" s="812"/>
      <c r="AE9" s="812"/>
      <c r="AF9" s="812"/>
      <c r="AG9" s="812"/>
      <c r="AH9" s="812"/>
      <c r="AI9" s="812"/>
      <c r="AJ9" s="813"/>
      <c r="AK9" s="813"/>
      <c r="AL9" s="813"/>
      <c r="AM9" s="813"/>
      <c r="AN9" s="812" t="s">
        <v>1212</v>
      </c>
      <c r="AO9" s="812"/>
      <c r="AP9" s="812"/>
      <c r="AQ9" s="812"/>
      <c r="AR9" s="812"/>
      <c r="AS9" s="812"/>
      <c r="AT9" s="812"/>
      <c r="AU9" s="812"/>
      <c r="AV9" s="812"/>
      <c r="AW9" s="831"/>
      <c r="AX9" s="831"/>
      <c r="AY9" s="831"/>
      <c r="AZ9" s="831"/>
      <c r="BA9" s="831"/>
      <c r="BB9" s="831"/>
      <c r="BC9" s="831"/>
      <c r="BD9" s="831"/>
      <c r="BE9" s="831"/>
      <c r="BF9" s="831"/>
      <c r="BG9" s="831"/>
      <c r="BH9" s="831"/>
      <c r="BI9" s="831"/>
    </row>
    <row r="10" spans="1:61" s="1653" customFormat="1" ht="49.5" customHeight="1" x14ac:dyDescent="0.65">
      <c r="A10" s="1528" t="s">
        <v>1213</v>
      </c>
      <c r="B10" s="1529">
        <f>[4]int.kiadások2022!B9</f>
        <v>141945</v>
      </c>
      <c r="C10" s="1529">
        <f>'[5]int.kiadások RM III'!D10</f>
        <v>146490</v>
      </c>
      <c r="D10" s="1529">
        <v>137857</v>
      </c>
      <c r="E10" s="1530">
        <f t="shared" ref="E10:E30" si="0">D10/C10</f>
        <v>0.94106764966891943</v>
      </c>
      <c r="F10" s="1529">
        <f>[4]int.kiadások2022!C9</f>
        <v>21456</v>
      </c>
      <c r="G10" s="1529">
        <f>'[5]int.kiadások RM III'!G10</f>
        <v>22557</v>
      </c>
      <c r="H10" s="1529">
        <v>21426</v>
      </c>
      <c r="I10" s="1530">
        <f t="shared" ref="I10:I30" si="1">H10/G10</f>
        <v>0.9498603537704482</v>
      </c>
      <c r="J10" s="1529">
        <f>[4]int.kiadások2022!D9</f>
        <v>4291</v>
      </c>
      <c r="K10" s="1529">
        <f>'[5]int.kiadások RM III'!J10</f>
        <v>7512</v>
      </c>
      <c r="L10" s="1529">
        <v>7002</v>
      </c>
      <c r="M10" s="1530">
        <f t="shared" ref="M10:M30" si="2">L10/K10</f>
        <v>0.9321086261980831</v>
      </c>
      <c r="N10" s="1528" t="s">
        <v>1213</v>
      </c>
      <c r="O10" s="1529">
        <f>[4]int.kiadások2022!E9</f>
        <v>0</v>
      </c>
      <c r="P10" s="1529">
        <f>'[5]int.kiadások RM III'!N10</f>
        <v>0</v>
      </c>
      <c r="Q10" s="1529"/>
      <c r="R10" s="1530"/>
      <c r="S10" s="1529">
        <f>[4]int.kiadások2022!F9</f>
        <v>0</v>
      </c>
      <c r="T10" s="1529">
        <f>'[5]int.kiadások RM III'!Q10</f>
        <v>0</v>
      </c>
      <c r="U10" s="1529"/>
      <c r="V10" s="1530"/>
      <c r="W10" s="1531">
        <f t="shared" ref="W10:Y27" si="3">B10+F10+J10+O10+S10</f>
        <v>167692</v>
      </c>
      <c r="X10" s="1531">
        <f t="shared" si="3"/>
        <v>176559</v>
      </c>
      <c r="Y10" s="1531">
        <f t="shared" si="3"/>
        <v>166285</v>
      </c>
      <c r="Z10" s="1532">
        <f t="shared" ref="Z10:Z30" si="4">Y10/X10</f>
        <v>0.94180981994687329</v>
      </c>
      <c r="AA10" s="1528" t="s">
        <v>1213</v>
      </c>
      <c r="AB10" s="1529">
        <f>[4]int.kiadások2022!I9</f>
        <v>0</v>
      </c>
      <c r="AC10" s="1529">
        <f>'[5]int.kiadások RM III'!X10</f>
        <v>4662</v>
      </c>
      <c r="AD10" s="1529">
        <v>4662</v>
      </c>
      <c r="AE10" s="1530">
        <f t="shared" ref="AE10:AE30" si="5">AD10/AC10</f>
        <v>1</v>
      </c>
      <c r="AF10" s="1529">
        <f>[4]int.kiadások2022!J9</f>
        <v>0</v>
      </c>
      <c r="AG10" s="1529">
        <f>'[5]int.kiadások RM III'!AA10</f>
        <v>0</v>
      </c>
      <c r="AH10" s="1529"/>
      <c r="AI10" s="1530"/>
      <c r="AJ10" s="1529">
        <f>[4]int.kiadások2022!K9</f>
        <v>0</v>
      </c>
      <c r="AK10" s="1529">
        <f>'[5]int.kiadások RM III'!AD10</f>
        <v>0</v>
      </c>
      <c r="AL10" s="1529"/>
      <c r="AM10" s="1530"/>
      <c r="AN10" s="1528" t="s">
        <v>1213</v>
      </c>
      <c r="AO10" s="1531">
        <f t="shared" ref="AO10:AQ27" si="6">AB10+AF10+AJ10</f>
        <v>0</v>
      </c>
      <c r="AP10" s="1531">
        <f t="shared" si="6"/>
        <v>4662</v>
      </c>
      <c r="AQ10" s="1531">
        <f t="shared" si="6"/>
        <v>4662</v>
      </c>
      <c r="AR10" s="1532">
        <f t="shared" ref="AR10:AR30" si="7">AQ10/AP10</f>
        <v>1</v>
      </c>
      <c r="AS10" s="1531">
        <f t="shared" ref="AS10:AU27" si="8">W10+AO10</f>
        <v>167692</v>
      </c>
      <c r="AT10" s="1531">
        <f t="shared" si="8"/>
        <v>181221</v>
      </c>
      <c r="AU10" s="1531">
        <f t="shared" si="8"/>
        <v>170947</v>
      </c>
      <c r="AV10" s="1532">
        <f t="shared" ref="AV10:AV30" si="9">AU10/AT10</f>
        <v>0.94330679115555038</v>
      </c>
      <c r="AW10" s="1652"/>
      <c r="AX10" s="1652"/>
      <c r="AY10" s="1652"/>
      <c r="AZ10" s="1652"/>
      <c r="BA10" s="1652"/>
      <c r="BB10" s="1652"/>
      <c r="BC10" s="1652"/>
      <c r="BD10" s="1652"/>
      <c r="BE10" s="1652"/>
      <c r="BF10" s="1652"/>
      <c r="BG10" s="1652"/>
      <c r="BH10" s="1652"/>
      <c r="BI10" s="1652"/>
    </row>
    <row r="11" spans="1:61" s="1653" customFormat="1" ht="49.5" customHeight="1" x14ac:dyDescent="0.65">
      <c r="A11" s="1528" t="s">
        <v>1214</v>
      </c>
      <c r="B11" s="1529">
        <f>[4]int.kiadások2022!B10</f>
        <v>108799</v>
      </c>
      <c r="C11" s="1529">
        <f>'[5]int.kiadások RM III'!D11</f>
        <v>113618</v>
      </c>
      <c r="D11" s="1529">
        <f>103372+1</f>
        <v>103373</v>
      </c>
      <c r="E11" s="1530">
        <f t="shared" si="0"/>
        <v>0.90982942843563519</v>
      </c>
      <c r="F11" s="1529">
        <f>[4]int.kiadások2022!C10</f>
        <v>14381</v>
      </c>
      <c r="G11" s="1529">
        <f>'[5]int.kiadások RM III'!G11</f>
        <v>15133</v>
      </c>
      <c r="H11" s="1529">
        <v>13786</v>
      </c>
      <c r="I11" s="1530">
        <f t="shared" si="1"/>
        <v>0.91098922883763955</v>
      </c>
      <c r="J11" s="1529">
        <f>[4]int.kiadások2022!D10</f>
        <v>2439</v>
      </c>
      <c r="K11" s="1529">
        <f>'[5]int.kiadások RM III'!J11</f>
        <v>5682</v>
      </c>
      <c r="L11" s="1529">
        <f>3274-1</f>
        <v>3273</v>
      </c>
      <c r="M11" s="1530">
        <f t="shared" si="2"/>
        <v>0.57602956705385433</v>
      </c>
      <c r="N11" s="1528" t="s">
        <v>1214</v>
      </c>
      <c r="O11" s="1529">
        <f>[4]int.kiadások2022!E10</f>
        <v>0</v>
      </c>
      <c r="P11" s="1529">
        <f>'[5]int.kiadások RM III'!N11</f>
        <v>0</v>
      </c>
      <c r="Q11" s="1529"/>
      <c r="R11" s="1530"/>
      <c r="S11" s="1529">
        <f>[4]int.kiadások2022!F10</f>
        <v>0</v>
      </c>
      <c r="T11" s="1529">
        <f>'[5]int.kiadások RM III'!Q11</f>
        <v>0</v>
      </c>
      <c r="U11" s="1529"/>
      <c r="V11" s="1530"/>
      <c r="W11" s="1531">
        <f t="shared" si="3"/>
        <v>125619</v>
      </c>
      <c r="X11" s="1531">
        <f t="shared" si="3"/>
        <v>134433</v>
      </c>
      <c r="Y11" s="1531">
        <f t="shared" si="3"/>
        <v>120432</v>
      </c>
      <c r="Z11" s="1532">
        <f t="shared" si="4"/>
        <v>0.89585146504206559</v>
      </c>
      <c r="AA11" s="1528" t="s">
        <v>1214</v>
      </c>
      <c r="AB11" s="1529">
        <f>[4]int.kiadások2022!I10</f>
        <v>0</v>
      </c>
      <c r="AC11" s="1529">
        <f>'[5]int.kiadások RM III'!X11</f>
        <v>1979</v>
      </c>
      <c r="AD11" s="1529">
        <f>1978+1</f>
        <v>1979</v>
      </c>
      <c r="AE11" s="1530">
        <f t="shared" si="5"/>
        <v>1</v>
      </c>
      <c r="AF11" s="1529">
        <f>[4]int.kiadások2022!J10</f>
        <v>0</v>
      </c>
      <c r="AG11" s="1529">
        <f>'[5]int.kiadások RM III'!AA11</f>
        <v>0</v>
      </c>
      <c r="AH11" s="1529"/>
      <c r="AI11" s="1530"/>
      <c r="AJ11" s="1529">
        <f>[4]int.kiadások2022!K10</f>
        <v>0</v>
      </c>
      <c r="AK11" s="1529">
        <f>'[5]int.kiadások RM III'!AD11</f>
        <v>0</v>
      </c>
      <c r="AL11" s="1529"/>
      <c r="AM11" s="1530"/>
      <c r="AN11" s="1528" t="s">
        <v>1214</v>
      </c>
      <c r="AO11" s="1531">
        <f t="shared" si="6"/>
        <v>0</v>
      </c>
      <c r="AP11" s="1531">
        <f t="shared" si="6"/>
        <v>1979</v>
      </c>
      <c r="AQ11" s="1531">
        <f t="shared" si="6"/>
        <v>1979</v>
      </c>
      <c r="AR11" s="1532">
        <f t="shared" si="7"/>
        <v>1</v>
      </c>
      <c r="AS11" s="1531">
        <f t="shared" si="8"/>
        <v>125619</v>
      </c>
      <c r="AT11" s="1531">
        <f t="shared" si="8"/>
        <v>136412</v>
      </c>
      <c r="AU11" s="1531">
        <f t="shared" si="8"/>
        <v>122411</v>
      </c>
      <c r="AV11" s="1532">
        <f t="shared" si="9"/>
        <v>0.89736240213470952</v>
      </c>
      <c r="AW11" s="1652"/>
      <c r="AX11" s="1652"/>
      <c r="AY11" s="1652"/>
      <c r="AZ11" s="1652"/>
      <c r="BA11" s="1652"/>
      <c r="BB11" s="1652"/>
      <c r="BC11" s="1652"/>
      <c r="BD11" s="1652"/>
      <c r="BE11" s="1652"/>
      <c r="BF11" s="1652"/>
      <c r="BG11" s="1652"/>
      <c r="BH11" s="1652"/>
      <c r="BI11" s="1652"/>
    </row>
    <row r="12" spans="1:61" s="1653" customFormat="1" ht="49.5" customHeight="1" x14ac:dyDescent="0.65">
      <c r="A12" s="1528" t="s">
        <v>1215</v>
      </c>
      <c r="B12" s="1529">
        <f>[4]int.kiadások2022!B11</f>
        <v>103485</v>
      </c>
      <c r="C12" s="1529">
        <f>'[5]int.kiadások RM III'!D12</f>
        <v>103171</v>
      </c>
      <c r="D12" s="1529">
        <v>96708</v>
      </c>
      <c r="E12" s="1530">
        <f t="shared" si="0"/>
        <v>0.9373564276783205</v>
      </c>
      <c r="F12" s="1529">
        <f>[4]int.kiadások2022!C11</f>
        <v>13736</v>
      </c>
      <c r="G12" s="1529">
        <f>'[5]int.kiadások RM III'!G12</f>
        <v>13752</v>
      </c>
      <c r="H12" s="1529">
        <v>12739</v>
      </c>
      <c r="I12" s="1530">
        <f t="shared" si="1"/>
        <v>0.92633798720186156</v>
      </c>
      <c r="J12" s="1529">
        <f>[4]int.kiadások2022!D11</f>
        <v>2956</v>
      </c>
      <c r="K12" s="1529">
        <f>'[5]int.kiadások RM III'!J12</f>
        <v>5495</v>
      </c>
      <c r="L12" s="1529">
        <v>4834</v>
      </c>
      <c r="M12" s="1530">
        <f t="shared" si="2"/>
        <v>0.8797088262056415</v>
      </c>
      <c r="N12" s="1528" t="s">
        <v>1215</v>
      </c>
      <c r="O12" s="1529">
        <f>[4]int.kiadások2022!E11</f>
        <v>0</v>
      </c>
      <c r="P12" s="1529">
        <f>'[5]int.kiadások RM III'!N12</f>
        <v>0</v>
      </c>
      <c r="Q12" s="1529"/>
      <c r="R12" s="1530"/>
      <c r="S12" s="1529">
        <f>[4]int.kiadások2022!F11</f>
        <v>0</v>
      </c>
      <c r="T12" s="1529">
        <f>'[5]int.kiadások RM III'!Q12</f>
        <v>0</v>
      </c>
      <c r="U12" s="1529"/>
      <c r="V12" s="1530"/>
      <c r="W12" s="1531">
        <f t="shared" si="3"/>
        <v>120177</v>
      </c>
      <c r="X12" s="1531">
        <f t="shared" si="3"/>
        <v>122418</v>
      </c>
      <c r="Y12" s="1531">
        <f t="shared" si="3"/>
        <v>114281</v>
      </c>
      <c r="Z12" s="1532">
        <f t="shared" si="4"/>
        <v>0.93353101668055349</v>
      </c>
      <c r="AA12" s="1528" t="s">
        <v>1215</v>
      </c>
      <c r="AB12" s="1529">
        <f>[4]int.kiadások2022!I11</f>
        <v>0</v>
      </c>
      <c r="AC12" s="1529">
        <f>'[5]int.kiadások RM III'!X12</f>
        <v>5380</v>
      </c>
      <c r="AD12" s="1529">
        <v>1488</v>
      </c>
      <c r="AE12" s="1530">
        <f t="shared" si="5"/>
        <v>0.27657992565055761</v>
      </c>
      <c r="AF12" s="1529">
        <f>[4]int.kiadások2022!J11</f>
        <v>0</v>
      </c>
      <c r="AG12" s="1529">
        <f>'[5]int.kiadások RM III'!AA12</f>
        <v>152</v>
      </c>
      <c r="AH12" s="1529">
        <v>151</v>
      </c>
      <c r="AI12" s="1530">
        <f>AH12/AG12</f>
        <v>0.99342105263157898</v>
      </c>
      <c r="AJ12" s="1529">
        <f>[4]int.kiadások2022!K11</f>
        <v>0</v>
      </c>
      <c r="AK12" s="1529">
        <f>'[5]int.kiadások RM III'!AD12</f>
        <v>0</v>
      </c>
      <c r="AL12" s="1529"/>
      <c r="AM12" s="1530"/>
      <c r="AN12" s="1528" t="s">
        <v>1215</v>
      </c>
      <c r="AO12" s="1531">
        <f t="shared" si="6"/>
        <v>0</v>
      </c>
      <c r="AP12" s="1531">
        <f t="shared" si="6"/>
        <v>5532</v>
      </c>
      <c r="AQ12" s="1531">
        <f t="shared" si="6"/>
        <v>1639</v>
      </c>
      <c r="AR12" s="1532">
        <f t="shared" si="7"/>
        <v>0.2962762111352133</v>
      </c>
      <c r="AS12" s="1531">
        <f t="shared" si="8"/>
        <v>120177</v>
      </c>
      <c r="AT12" s="1531">
        <f t="shared" si="8"/>
        <v>127950</v>
      </c>
      <c r="AU12" s="1531">
        <f t="shared" si="8"/>
        <v>115920</v>
      </c>
      <c r="AV12" s="1532">
        <f t="shared" si="9"/>
        <v>0.90597889800703402</v>
      </c>
      <c r="AW12" s="1652"/>
      <c r="AX12" s="1652"/>
      <c r="AY12" s="1652"/>
      <c r="AZ12" s="1652"/>
      <c r="BA12" s="1652"/>
      <c r="BB12" s="1652"/>
      <c r="BC12" s="1652"/>
      <c r="BD12" s="1652"/>
      <c r="BE12" s="1652"/>
      <c r="BF12" s="1652"/>
      <c r="BG12" s="1652"/>
      <c r="BH12" s="1652"/>
      <c r="BI12" s="1652"/>
    </row>
    <row r="13" spans="1:61" s="1653" customFormat="1" ht="49.5" customHeight="1" x14ac:dyDescent="0.65">
      <c r="A13" s="1528" t="s">
        <v>1216</v>
      </c>
      <c r="B13" s="1529">
        <f>[4]int.kiadások2022!B12</f>
        <v>127028</v>
      </c>
      <c r="C13" s="1529">
        <f>'[5]int.kiadások RM III'!D13</f>
        <v>126472</v>
      </c>
      <c r="D13" s="1529">
        <v>125037</v>
      </c>
      <c r="E13" s="1530">
        <f t="shared" si="0"/>
        <v>0.98865361502941362</v>
      </c>
      <c r="F13" s="1529">
        <f>[4]int.kiadások2022!C12</f>
        <v>19231</v>
      </c>
      <c r="G13" s="1529">
        <f>'[5]int.kiadások RM III'!G13</f>
        <v>17521</v>
      </c>
      <c r="H13" s="1529">
        <v>17290</v>
      </c>
      <c r="I13" s="1530">
        <f t="shared" si="1"/>
        <v>0.98681582101478227</v>
      </c>
      <c r="J13" s="1529">
        <f>[4]int.kiadások2022!D12</f>
        <v>3219</v>
      </c>
      <c r="K13" s="1529">
        <f>'[5]int.kiadások RM III'!J13</f>
        <v>5233</v>
      </c>
      <c r="L13" s="1529">
        <v>4007</v>
      </c>
      <c r="M13" s="1530">
        <f t="shared" si="2"/>
        <v>0.76571756162812921</v>
      </c>
      <c r="N13" s="1528" t="s">
        <v>1216</v>
      </c>
      <c r="O13" s="1529">
        <f>[4]int.kiadások2022!E12</f>
        <v>0</v>
      </c>
      <c r="P13" s="1529">
        <f>'[5]int.kiadások RM III'!N13</f>
        <v>0</v>
      </c>
      <c r="Q13" s="1529"/>
      <c r="R13" s="1530"/>
      <c r="S13" s="1529">
        <f>[4]int.kiadások2022!F12</f>
        <v>0</v>
      </c>
      <c r="T13" s="1529">
        <f>'[5]int.kiadások RM III'!Q13</f>
        <v>0</v>
      </c>
      <c r="U13" s="1529"/>
      <c r="V13" s="1530"/>
      <c r="W13" s="1531">
        <f t="shared" si="3"/>
        <v>149478</v>
      </c>
      <c r="X13" s="1531">
        <f t="shared" si="3"/>
        <v>149226</v>
      </c>
      <c r="Y13" s="1531">
        <f t="shared" si="3"/>
        <v>146334</v>
      </c>
      <c r="Z13" s="1532">
        <f t="shared" si="4"/>
        <v>0.98061999919585063</v>
      </c>
      <c r="AA13" s="1528" t="s">
        <v>1216</v>
      </c>
      <c r="AB13" s="1529">
        <f>[4]int.kiadások2022!I12</f>
        <v>0</v>
      </c>
      <c r="AC13" s="1529">
        <f>'[5]int.kiadások RM III'!X13</f>
        <v>838</v>
      </c>
      <c r="AD13" s="1529">
        <v>837</v>
      </c>
      <c r="AE13" s="1530">
        <f t="shared" si="5"/>
        <v>0.99880668257756566</v>
      </c>
      <c r="AF13" s="1529">
        <f>[4]int.kiadások2022!J12</f>
        <v>0</v>
      </c>
      <c r="AG13" s="1529">
        <f>'[5]int.kiadások RM III'!AA13</f>
        <v>0</v>
      </c>
      <c r="AH13" s="1529"/>
      <c r="AI13" s="1530"/>
      <c r="AJ13" s="1529">
        <f>[4]int.kiadások2022!K12</f>
        <v>0</v>
      </c>
      <c r="AK13" s="1529">
        <f>'[5]int.kiadások RM III'!AD13</f>
        <v>0</v>
      </c>
      <c r="AL13" s="1529"/>
      <c r="AM13" s="1530"/>
      <c r="AN13" s="1528" t="s">
        <v>1216</v>
      </c>
      <c r="AO13" s="1531">
        <f t="shared" si="6"/>
        <v>0</v>
      </c>
      <c r="AP13" s="1531">
        <f t="shared" si="6"/>
        <v>838</v>
      </c>
      <c r="AQ13" s="1531">
        <f t="shared" si="6"/>
        <v>837</v>
      </c>
      <c r="AR13" s="1532">
        <f t="shared" si="7"/>
        <v>0.99880668257756566</v>
      </c>
      <c r="AS13" s="1531">
        <f t="shared" si="8"/>
        <v>149478</v>
      </c>
      <c r="AT13" s="1531">
        <f t="shared" si="8"/>
        <v>150064</v>
      </c>
      <c r="AU13" s="1531">
        <f>Y13+AQ13</f>
        <v>147171</v>
      </c>
      <c r="AV13" s="1532">
        <f t="shared" si="9"/>
        <v>0.98072155880157796</v>
      </c>
      <c r="AW13" s="1652"/>
      <c r="AX13" s="1652"/>
      <c r="AY13" s="1652"/>
      <c r="AZ13" s="1652"/>
      <c r="BA13" s="1652"/>
      <c r="BB13" s="1652"/>
      <c r="BC13" s="1652"/>
      <c r="BD13" s="1652"/>
      <c r="BE13" s="1652"/>
      <c r="BF13" s="1652"/>
      <c r="BG13" s="1652"/>
      <c r="BH13" s="1652"/>
      <c r="BI13" s="1652"/>
    </row>
    <row r="14" spans="1:61" s="1653" customFormat="1" ht="49.5" customHeight="1" x14ac:dyDescent="0.65">
      <c r="A14" s="1528" t="s">
        <v>1217</v>
      </c>
      <c r="B14" s="1529">
        <f>[4]int.kiadások2022!B13</f>
        <v>113350</v>
      </c>
      <c r="C14" s="1529">
        <f>'[5]int.kiadások RM III'!D14</f>
        <v>118362</v>
      </c>
      <c r="D14" s="1529">
        <v>112321</v>
      </c>
      <c r="E14" s="1530">
        <f t="shared" si="0"/>
        <v>0.94896165999222726</v>
      </c>
      <c r="F14" s="1529">
        <f>[4]int.kiadások2022!C13</f>
        <v>17191</v>
      </c>
      <c r="G14" s="1529">
        <f>'[5]int.kiadások RM III'!G14</f>
        <v>16605</v>
      </c>
      <c r="H14" s="1529">
        <v>15811</v>
      </c>
      <c r="I14" s="1530">
        <f t="shared" si="1"/>
        <v>0.95218307738632946</v>
      </c>
      <c r="J14" s="1529">
        <f>[4]int.kiadások2022!D13</f>
        <v>2848</v>
      </c>
      <c r="K14" s="1529">
        <f>'[5]int.kiadások RM III'!J14</f>
        <v>6539</v>
      </c>
      <c r="L14" s="1529">
        <v>5472</v>
      </c>
      <c r="M14" s="1530">
        <f t="shared" si="2"/>
        <v>0.83682520263037163</v>
      </c>
      <c r="N14" s="1528" t="s">
        <v>1217</v>
      </c>
      <c r="O14" s="1529">
        <f>[4]int.kiadások2022!E13</f>
        <v>0</v>
      </c>
      <c r="P14" s="1529">
        <f>'[5]int.kiadások RM III'!N14</f>
        <v>0</v>
      </c>
      <c r="Q14" s="1529"/>
      <c r="R14" s="1530"/>
      <c r="S14" s="1529">
        <f>[4]int.kiadások2022!F13</f>
        <v>0</v>
      </c>
      <c r="T14" s="1529">
        <f>'[5]int.kiadások RM III'!Q14</f>
        <v>0</v>
      </c>
      <c r="U14" s="1529"/>
      <c r="V14" s="1530"/>
      <c r="W14" s="1531">
        <f t="shared" si="3"/>
        <v>133389</v>
      </c>
      <c r="X14" s="1531">
        <f t="shared" si="3"/>
        <v>141506</v>
      </c>
      <c r="Y14" s="1531">
        <f t="shared" si="3"/>
        <v>133604</v>
      </c>
      <c r="Z14" s="1532">
        <f t="shared" si="4"/>
        <v>0.94415784489703614</v>
      </c>
      <c r="AA14" s="1528" t="s">
        <v>1217</v>
      </c>
      <c r="AB14" s="1529">
        <f>[4]int.kiadások2022!I13</f>
        <v>0</v>
      </c>
      <c r="AC14" s="1529">
        <f>'[5]int.kiadások RM III'!X14</f>
        <v>1884</v>
      </c>
      <c r="AD14" s="1529">
        <f>1883+1</f>
        <v>1884</v>
      </c>
      <c r="AE14" s="1530">
        <f t="shared" si="5"/>
        <v>1</v>
      </c>
      <c r="AF14" s="1529">
        <f>[4]int.kiadások2022!J13</f>
        <v>0</v>
      </c>
      <c r="AG14" s="1529">
        <f>'[5]int.kiadások RM III'!AA14</f>
        <v>0</v>
      </c>
      <c r="AH14" s="1529"/>
      <c r="AI14" s="1530"/>
      <c r="AJ14" s="1529">
        <f>[4]int.kiadások2022!K13</f>
        <v>0</v>
      </c>
      <c r="AK14" s="1529">
        <f>'[5]int.kiadások RM III'!AD14</f>
        <v>0</v>
      </c>
      <c r="AL14" s="1529"/>
      <c r="AM14" s="1530"/>
      <c r="AN14" s="1528" t="s">
        <v>1217</v>
      </c>
      <c r="AO14" s="1531">
        <f t="shared" si="6"/>
        <v>0</v>
      </c>
      <c r="AP14" s="1531">
        <f t="shared" si="6"/>
        <v>1884</v>
      </c>
      <c r="AQ14" s="1531">
        <f t="shared" si="6"/>
        <v>1884</v>
      </c>
      <c r="AR14" s="1532">
        <f t="shared" si="7"/>
        <v>1</v>
      </c>
      <c r="AS14" s="1531">
        <f t="shared" si="8"/>
        <v>133389</v>
      </c>
      <c r="AT14" s="1531">
        <f t="shared" si="8"/>
        <v>143390</v>
      </c>
      <c r="AU14" s="1531">
        <f t="shared" si="8"/>
        <v>135488</v>
      </c>
      <c r="AV14" s="1532">
        <f t="shared" si="9"/>
        <v>0.94489155450170859</v>
      </c>
      <c r="AW14" s="1652"/>
      <c r="AX14" s="1652"/>
      <c r="AY14" s="1652"/>
      <c r="AZ14" s="1652"/>
      <c r="BA14" s="1652"/>
      <c r="BB14" s="1652"/>
      <c r="BC14" s="1652"/>
      <c r="BD14" s="1652"/>
      <c r="BE14" s="1652"/>
      <c r="BF14" s="1652"/>
      <c r="BG14" s="1652"/>
      <c r="BH14" s="1652"/>
      <c r="BI14" s="1652"/>
    </row>
    <row r="15" spans="1:61" s="1653" customFormat="1" ht="49.5" customHeight="1" x14ac:dyDescent="0.65">
      <c r="A15" s="1528" t="s">
        <v>1218</v>
      </c>
      <c r="B15" s="1529">
        <f>[4]int.kiadások2022!B14</f>
        <v>105172</v>
      </c>
      <c r="C15" s="1529">
        <f>'[5]int.kiadások RM III'!D15</f>
        <v>103578</v>
      </c>
      <c r="D15" s="1529">
        <v>98051</v>
      </c>
      <c r="E15" s="1530">
        <f t="shared" si="0"/>
        <v>0.94663924771669661</v>
      </c>
      <c r="F15" s="1529">
        <f>[4]int.kiadások2022!C14</f>
        <v>13782</v>
      </c>
      <c r="G15" s="1529">
        <f>'[5]int.kiadások RM III'!G15</f>
        <v>15361</v>
      </c>
      <c r="H15" s="1529">
        <v>14525</v>
      </c>
      <c r="I15" s="1530">
        <f t="shared" si="1"/>
        <v>0.94557645986589411</v>
      </c>
      <c r="J15" s="1529">
        <f>[4]int.kiadások2022!D14</f>
        <v>2560</v>
      </c>
      <c r="K15" s="1529">
        <f>'[5]int.kiadások RM III'!J15</f>
        <v>5555</v>
      </c>
      <c r="L15" s="1529">
        <v>3920</v>
      </c>
      <c r="M15" s="1530">
        <f t="shared" si="2"/>
        <v>0.70567056705670572</v>
      </c>
      <c r="N15" s="1528" t="s">
        <v>1218</v>
      </c>
      <c r="O15" s="1529">
        <f>[4]int.kiadások2022!E14</f>
        <v>0</v>
      </c>
      <c r="P15" s="1529">
        <f>'[5]int.kiadások RM III'!N15</f>
        <v>0</v>
      </c>
      <c r="Q15" s="1529"/>
      <c r="R15" s="1530"/>
      <c r="S15" s="1529">
        <f>[4]int.kiadások2022!F14</f>
        <v>0</v>
      </c>
      <c r="T15" s="1529">
        <f>'[5]int.kiadások RM III'!Q15</f>
        <v>0</v>
      </c>
      <c r="U15" s="1529"/>
      <c r="V15" s="1530"/>
      <c r="W15" s="1531">
        <f t="shared" si="3"/>
        <v>121514</v>
      </c>
      <c r="X15" s="1531">
        <f t="shared" si="3"/>
        <v>124494</v>
      </c>
      <c r="Y15" s="1531">
        <f t="shared" si="3"/>
        <v>116496</v>
      </c>
      <c r="Z15" s="1532">
        <f t="shared" si="4"/>
        <v>0.93575594004530338</v>
      </c>
      <c r="AA15" s="1528" t="s">
        <v>1218</v>
      </c>
      <c r="AB15" s="1529">
        <f>[4]int.kiadások2022!I14</f>
        <v>0</v>
      </c>
      <c r="AC15" s="1529">
        <f>'[5]int.kiadások RM III'!X15</f>
        <v>1148</v>
      </c>
      <c r="AD15" s="1529">
        <f>1147+1</f>
        <v>1148</v>
      </c>
      <c r="AE15" s="1530">
        <f t="shared" si="5"/>
        <v>1</v>
      </c>
      <c r="AF15" s="1529">
        <f>[4]int.kiadások2022!J14</f>
        <v>0</v>
      </c>
      <c r="AG15" s="1529">
        <f>'[5]int.kiadások RM III'!AA15</f>
        <v>645</v>
      </c>
      <c r="AH15" s="1529">
        <v>644</v>
      </c>
      <c r="AI15" s="1530">
        <f>AH15/AG15</f>
        <v>0.99844961240310082</v>
      </c>
      <c r="AJ15" s="1529">
        <f>[4]int.kiadások2022!K14</f>
        <v>0</v>
      </c>
      <c r="AK15" s="1529">
        <f>'[5]int.kiadások RM III'!AD15</f>
        <v>0</v>
      </c>
      <c r="AL15" s="1529"/>
      <c r="AM15" s="1530"/>
      <c r="AN15" s="1528" t="s">
        <v>1218</v>
      </c>
      <c r="AO15" s="1531">
        <f t="shared" si="6"/>
        <v>0</v>
      </c>
      <c r="AP15" s="1531">
        <f t="shared" si="6"/>
        <v>1793</v>
      </c>
      <c r="AQ15" s="1531">
        <f t="shared" si="6"/>
        <v>1792</v>
      </c>
      <c r="AR15" s="1532">
        <f t="shared" si="7"/>
        <v>0.99944227551589515</v>
      </c>
      <c r="AS15" s="1531">
        <f t="shared" si="8"/>
        <v>121514</v>
      </c>
      <c r="AT15" s="1531">
        <f t="shared" si="8"/>
        <v>126287</v>
      </c>
      <c r="AU15" s="1531">
        <f t="shared" si="8"/>
        <v>118288</v>
      </c>
      <c r="AV15" s="1532">
        <f t="shared" si="9"/>
        <v>0.93666014712519896</v>
      </c>
      <c r="AW15" s="1652"/>
      <c r="AX15" s="1652"/>
      <c r="AY15" s="1652"/>
      <c r="AZ15" s="1652"/>
      <c r="BA15" s="1652"/>
      <c r="BB15" s="1652"/>
      <c r="BC15" s="1652"/>
      <c r="BD15" s="1652"/>
      <c r="BE15" s="1652"/>
      <c r="BF15" s="1652"/>
      <c r="BG15" s="1652"/>
      <c r="BH15" s="1652"/>
      <c r="BI15" s="1652"/>
    </row>
    <row r="16" spans="1:61" s="1653" customFormat="1" ht="49.5" customHeight="1" x14ac:dyDescent="0.65">
      <c r="A16" s="1528" t="s">
        <v>1219</v>
      </c>
      <c r="B16" s="1529">
        <f>[4]int.kiadások2022!B15</f>
        <v>88224</v>
      </c>
      <c r="C16" s="1529">
        <f>'[5]int.kiadások RM III'!D16</f>
        <v>90446</v>
      </c>
      <c r="D16" s="1529">
        <f>87696+1</f>
        <v>87697</v>
      </c>
      <c r="E16" s="1530">
        <f t="shared" si="0"/>
        <v>0.9696061738495898</v>
      </c>
      <c r="F16" s="1529">
        <f>[4]int.kiadások2022!C15</f>
        <v>11673</v>
      </c>
      <c r="G16" s="1529">
        <f>'[5]int.kiadások RM III'!G16</f>
        <v>12133</v>
      </c>
      <c r="H16" s="1529">
        <v>11773</v>
      </c>
      <c r="I16" s="1530">
        <f t="shared" si="1"/>
        <v>0.97032885518832934</v>
      </c>
      <c r="J16" s="1529">
        <f>[4]int.kiadások2022!D15</f>
        <v>2332</v>
      </c>
      <c r="K16" s="1529">
        <f>'[5]int.kiadások RM III'!J16</f>
        <v>3966</v>
      </c>
      <c r="L16" s="1529">
        <f>3319-1</f>
        <v>3318</v>
      </c>
      <c r="M16" s="1530">
        <f t="shared" si="2"/>
        <v>0.83661119515885018</v>
      </c>
      <c r="N16" s="1528" t="s">
        <v>1219</v>
      </c>
      <c r="O16" s="1529">
        <f>[4]int.kiadások2022!E15</f>
        <v>0</v>
      </c>
      <c r="P16" s="1529">
        <f>'[5]int.kiadások RM III'!N16</f>
        <v>0</v>
      </c>
      <c r="Q16" s="1529"/>
      <c r="R16" s="1530"/>
      <c r="S16" s="1529">
        <f>[4]int.kiadások2022!F15</f>
        <v>0</v>
      </c>
      <c r="T16" s="1529">
        <f>'[5]int.kiadások RM III'!Q16</f>
        <v>0</v>
      </c>
      <c r="U16" s="1529"/>
      <c r="V16" s="1530"/>
      <c r="W16" s="1531">
        <f t="shared" si="3"/>
        <v>102229</v>
      </c>
      <c r="X16" s="1531">
        <f t="shared" si="3"/>
        <v>106545</v>
      </c>
      <c r="Y16" s="1531">
        <f t="shared" si="3"/>
        <v>102788</v>
      </c>
      <c r="Z16" s="1532">
        <f t="shared" si="4"/>
        <v>0.96473790417194616</v>
      </c>
      <c r="AA16" s="1528" t="s">
        <v>1219</v>
      </c>
      <c r="AB16" s="1529">
        <f>[4]int.kiadások2022!I15</f>
        <v>0</v>
      </c>
      <c r="AC16" s="1529">
        <f>'[5]int.kiadások RM III'!X16</f>
        <v>260</v>
      </c>
      <c r="AD16" s="1529">
        <v>259</v>
      </c>
      <c r="AE16" s="1530">
        <f t="shared" si="5"/>
        <v>0.99615384615384617</v>
      </c>
      <c r="AF16" s="1529">
        <f>[4]int.kiadások2022!J15</f>
        <v>0</v>
      </c>
      <c r="AG16" s="1529">
        <f>'[5]int.kiadások RM III'!AA16</f>
        <v>1861</v>
      </c>
      <c r="AH16" s="1529">
        <f>1860+1</f>
        <v>1861</v>
      </c>
      <c r="AI16" s="1530">
        <f>AH16/AG16</f>
        <v>1</v>
      </c>
      <c r="AJ16" s="1529">
        <f>[4]int.kiadások2022!K15</f>
        <v>0</v>
      </c>
      <c r="AK16" s="1529">
        <f>'[5]int.kiadások RM III'!AD16</f>
        <v>0</v>
      </c>
      <c r="AL16" s="1529"/>
      <c r="AM16" s="1530"/>
      <c r="AN16" s="1528" t="s">
        <v>1219</v>
      </c>
      <c r="AO16" s="1531">
        <f t="shared" si="6"/>
        <v>0</v>
      </c>
      <c r="AP16" s="1531">
        <f t="shared" si="6"/>
        <v>2121</v>
      </c>
      <c r="AQ16" s="1531">
        <f t="shared" si="6"/>
        <v>2120</v>
      </c>
      <c r="AR16" s="1532">
        <f t="shared" si="7"/>
        <v>0.99952852428099948</v>
      </c>
      <c r="AS16" s="1531">
        <f t="shared" si="8"/>
        <v>102229</v>
      </c>
      <c r="AT16" s="1531">
        <f t="shared" si="8"/>
        <v>108666</v>
      </c>
      <c r="AU16" s="1531">
        <f>Y16+AQ16</f>
        <v>104908</v>
      </c>
      <c r="AV16" s="1532">
        <f t="shared" si="9"/>
        <v>0.96541696574825608</v>
      </c>
      <c r="AW16" s="1652"/>
      <c r="AX16" s="1652"/>
      <c r="AY16" s="1652"/>
      <c r="AZ16" s="1652"/>
      <c r="BA16" s="1652"/>
      <c r="BB16" s="1652"/>
      <c r="BC16" s="1652"/>
      <c r="BD16" s="1652"/>
      <c r="BE16" s="1652"/>
      <c r="BF16" s="1652"/>
      <c r="BG16" s="1652"/>
      <c r="BH16" s="1652"/>
      <c r="BI16" s="1652"/>
    </row>
    <row r="17" spans="1:61" s="1653" customFormat="1" ht="49.5" customHeight="1" x14ac:dyDescent="0.65">
      <c r="A17" s="1528" t="s">
        <v>1220</v>
      </c>
      <c r="B17" s="1529">
        <f>[4]int.kiadások2022!B16</f>
        <v>82610</v>
      </c>
      <c r="C17" s="1529">
        <f>'[5]int.kiadások RM III'!D17</f>
        <v>84978</v>
      </c>
      <c r="D17" s="1529">
        <v>76964</v>
      </c>
      <c r="E17" s="1530">
        <f t="shared" si="0"/>
        <v>0.9056932382499</v>
      </c>
      <c r="F17" s="1529">
        <f>[4]int.kiadások2022!C16</f>
        <v>10911</v>
      </c>
      <c r="G17" s="1529">
        <f>'[5]int.kiadások RM III'!G17</f>
        <v>11131</v>
      </c>
      <c r="H17" s="1529">
        <v>10015</v>
      </c>
      <c r="I17" s="1530">
        <f t="shared" si="1"/>
        <v>0.89973946635522417</v>
      </c>
      <c r="J17" s="1529">
        <f>[4]int.kiadások2022!D16</f>
        <v>2378</v>
      </c>
      <c r="K17" s="1529">
        <f>'[5]int.kiadások RM III'!J17</f>
        <v>4581</v>
      </c>
      <c r="L17" s="1529">
        <v>3433</v>
      </c>
      <c r="M17" s="1530">
        <f t="shared" si="2"/>
        <v>0.7493996943898712</v>
      </c>
      <c r="N17" s="1528" t="s">
        <v>1220</v>
      </c>
      <c r="O17" s="1529">
        <f>[4]int.kiadások2022!E16</f>
        <v>0</v>
      </c>
      <c r="P17" s="1529">
        <f>'[5]int.kiadások RM III'!N17</f>
        <v>0</v>
      </c>
      <c r="Q17" s="1529"/>
      <c r="R17" s="1530"/>
      <c r="S17" s="1529">
        <f>[4]int.kiadások2022!F16</f>
        <v>0</v>
      </c>
      <c r="T17" s="1529">
        <f>'[5]int.kiadások RM III'!Q17</f>
        <v>0</v>
      </c>
      <c r="U17" s="1529"/>
      <c r="V17" s="1530"/>
      <c r="W17" s="1531">
        <f t="shared" si="3"/>
        <v>95899</v>
      </c>
      <c r="X17" s="1531">
        <f t="shared" si="3"/>
        <v>100690</v>
      </c>
      <c r="Y17" s="1531">
        <f t="shared" si="3"/>
        <v>90412</v>
      </c>
      <c r="Z17" s="1532">
        <f t="shared" si="4"/>
        <v>0.89792432217697882</v>
      </c>
      <c r="AA17" s="1528" t="s">
        <v>1220</v>
      </c>
      <c r="AB17" s="1529">
        <f>[4]int.kiadások2022!I16</f>
        <v>0</v>
      </c>
      <c r="AC17" s="1529">
        <f>'[5]int.kiadások RM III'!X17</f>
        <v>1734</v>
      </c>
      <c r="AD17" s="1529">
        <v>433</v>
      </c>
      <c r="AE17" s="1530">
        <f t="shared" si="5"/>
        <v>0.24971164936562859</v>
      </c>
      <c r="AF17" s="1529">
        <f>[4]int.kiadások2022!J16</f>
        <v>0</v>
      </c>
      <c r="AG17" s="1529">
        <f>'[5]int.kiadások RM III'!AA17</f>
        <v>0</v>
      </c>
      <c r="AH17" s="1529"/>
      <c r="AI17" s="1530"/>
      <c r="AJ17" s="1529">
        <f>[4]int.kiadások2022!K16</f>
        <v>0</v>
      </c>
      <c r="AK17" s="1529">
        <f>'[5]int.kiadások RM III'!AD17</f>
        <v>0</v>
      </c>
      <c r="AL17" s="1529"/>
      <c r="AM17" s="1530"/>
      <c r="AN17" s="1528" t="s">
        <v>1220</v>
      </c>
      <c r="AO17" s="1531">
        <f t="shared" si="6"/>
        <v>0</v>
      </c>
      <c r="AP17" s="1531">
        <f t="shared" si="6"/>
        <v>1734</v>
      </c>
      <c r="AQ17" s="1531">
        <f t="shared" si="6"/>
        <v>433</v>
      </c>
      <c r="AR17" s="1532">
        <f t="shared" si="7"/>
        <v>0.24971164936562859</v>
      </c>
      <c r="AS17" s="1531">
        <f t="shared" si="8"/>
        <v>95899</v>
      </c>
      <c r="AT17" s="1531">
        <f t="shared" si="8"/>
        <v>102424</v>
      </c>
      <c r="AU17" s="1531">
        <f t="shared" si="8"/>
        <v>90845</v>
      </c>
      <c r="AV17" s="1532">
        <f t="shared" si="9"/>
        <v>0.88695032414277908</v>
      </c>
      <c r="AW17" s="1652"/>
      <c r="AX17" s="1652"/>
      <c r="AY17" s="1652"/>
      <c r="AZ17" s="1652"/>
      <c r="BA17" s="1652"/>
      <c r="BB17" s="1652"/>
      <c r="BC17" s="1652"/>
      <c r="BD17" s="1652"/>
      <c r="BE17" s="1652"/>
      <c r="BF17" s="1652"/>
      <c r="BG17" s="1652"/>
      <c r="BH17" s="1652"/>
      <c r="BI17" s="1652"/>
    </row>
    <row r="18" spans="1:61" s="1653" customFormat="1" ht="49.5" customHeight="1" x14ac:dyDescent="0.65">
      <c r="A18" s="1528" t="s">
        <v>1221</v>
      </c>
      <c r="B18" s="1529">
        <f>[4]int.kiadások2022!B17</f>
        <v>108048</v>
      </c>
      <c r="C18" s="1529">
        <f>'[5]int.kiadások RM III'!D18</f>
        <v>112333</v>
      </c>
      <c r="D18" s="1529">
        <v>105558</v>
      </c>
      <c r="E18" s="1530">
        <f t="shared" si="0"/>
        <v>0.93968824833308107</v>
      </c>
      <c r="F18" s="1529">
        <f>[4]int.kiadások2022!C17</f>
        <v>16510</v>
      </c>
      <c r="G18" s="1529">
        <f>'[5]int.kiadások RM III'!G18</f>
        <v>17282</v>
      </c>
      <c r="H18" s="1529">
        <v>16426</v>
      </c>
      <c r="I18" s="1530">
        <f t="shared" si="1"/>
        <v>0.95046869575280635</v>
      </c>
      <c r="J18" s="1529">
        <f>[4]int.kiadások2022!D17</f>
        <v>2946</v>
      </c>
      <c r="K18" s="1529">
        <f>'[5]int.kiadások RM III'!J18</f>
        <v>4203</v>
      </c>
      <c r="L18" s="1529">
        <v>2407</v>
      </c>
      <c r="M18" s="1530">
        <f t="shared" si="2"/>
        <v>0.57268617654056631</v>
      </c>
      <c r="N18" s="1528" t="s">
        <v>1221</v>
      </c>
      <c r="O18" s="1529">
        <f>[4]int.kiadások2022!E17</f>
        <v>0</v>
      </c>
      <c r="P18" s="1529">
        <f>'[5]int.kiadások RM III'!N18</f>
        <v>0</v>
      </c>
      <c r="Q18" s="1529"/>
      <c r="R18" s="1530"/>
      <c r="S18" s="1529">
        <f>[4]int.kiadások2022!F17</f>
        <v>0</v>
      </c>
      <c r="T18" s="1529">
        <f>'[5]int.kiadások RM III'!Q18</f>
        <v>0</v>
      </c>
      <c r="U18" s="1529"/>
      <c r="V18" s="1530"/>
      <c r="W18" s="1531">
        <f t="shared" si="3"/>
        <v>127504</v>
      </c>
      <c r="X18" s="1531">
        <f t="shared" si="3"/>
        <v>133818</v>
      </c>
      <c r="Y18" s="1531">
        <f t="shared" si="3"/>
        <v>124391</v>
      </c>
      <c r="Z18" s="1532">
        <f t="shared" si="4"/>
        <v>0.92955357276300643</v>
      </c>
      <c r="AA18" s="1528" t="s">
        <v>1221</v>
      </c>
      <c r="AB18" s="1529">
        <f>[4]int.kiadások2022!I17</f>
        <v>0</v>
      </c>
      <c r="AC18" s="1529">
        <f>'[5]int.kiadások RM III'!X18</f>
        <v>2447</v>
      </c>
      <c r="AD18" s="1529">
        <v>2447</v>
      </c>
      <c r="AE18" s="1530">
        <f t="shared" si="5"/>
        <v>1</v>
      </c>
      <c r="AF18" s="1529">
        <f>[4]int.kiadások2022!J17</f>
        <v>0</v>
      </c>
      <c r="AG18" s="1529">
        <f>'[5]int.kiadások RM III'!AA18</f>
        <v>8389</v>
      </c>
      <c r="AH18" s="1529">
        <v>8388</v>
      </c>
      <c r="AI18" s="1530">
        <f>AH18/AG18</f>
        <v>0.99988079628084392</v>
      </c>
      <c r="AJ18" s="1529">
        <f>[4]int.kiadások2022!K17</f>
        <v>0</v>
      </c>
      <c r="AK18" s="1529">
        <f>'[5]int.kiadások RM III'!AD18</f>
        <v>0</v>
      </c>
      <c r="AL18" s="1529"/>
      <c r="AM18" s="1530"/>
      <c r="AN18" s="1528" t="s">
        <v>1221</v>
      </c>
      <c r="AO18" s="1531">
        <f t="shared" si="6"/>
        <v>0</v>
      </c>
      <c r="AP18" s="1531">
        <f t="shared" si="6"/>
        <v>10836</v>
      </c>
      <c r="AQ18" s="1531">
        <f t="shared" si="6"/>
        <v>10835</v>
      </c>
      <c r="AR18" s="1532">
        <f t="shared" si="7"/>
        <v>0.99990771502399411</v>
      </c>
      <c r="AS18" s="1531">
        <f t="shared" si="8"/>
        <v>127504</v>
      </c>
      <c r="AT18" s="1531">
        <f t="shared" si="8"/>
        <v>144654</v>
      </c>
      <c r="AU18" s="1531">
        <f t="shared" si="8"/>
        <v>135226</v>
      </c>
      <c r="AV18" s="1532">
        <f t="shared" si="9"/>
        <v>0.93482378641447872</v>
      </c>
      <c r="AW18" s="1652"/>
      <c r="AX18" s="1652"/>
      <c r="AY18" s="1652"/>
      <c r="AZ18" s="1652"/>
      <c r="BA18" s="1652"/>
      <c r="BB18" s="1652"/>
      <c r="BC18" s="1652"/>
      <c r="BD18" s="1652"/>
      <c r="BE18" s="1652"/>
      <c r="BF18" s="1652"/>
      <c r="BG18" s="1652"/>
      <c r="BH18" s="1652"/>
      <c r="BI18" s="1652"/>
    </row>
    <row r="19" spans="1:61" s="1653" customFormat="1" ht="49.5" customHeight="1" x14ac:dyDescent="0.65">
      <c r="A19" s="1528" t="s">
        <v>1222</v>
      </c>
      <c r="B19" s="1529">
        <f>[4]int.kiadások2022!B18</f>
        <v>135764</v>
      </c>
      <c r="C19" s="1529">
        <f>'[5]int.kiadások RM III'!D19</f>
        <v>137124</v>
      </c>
      <c r="D19" s="1529">
        <v>128599</v>
      </c>
      <c r="E19" s="1530">
        <f t="shared" si="0"/>
        <v>0.93782999329074412</v>
      </c>
      <c r="F19" s="1529">
        <f>[4]int.kiadások2022!C18</f>
        <v>20458</v>
      </c>
      <c r="G19" s="1529">
        <f>'[5]int.kiadások RM III'!G19</f>
        <v>20148</v>
      </c>
      <c r="H19" s="1529">
        <v>19048</v>
      </c>
      <c r="I19" s="1530">
        <f t="shared" si="1"/>
        <v>0.94540401032360533</v>
      </c>
      <c r="J19" s="1529">
        <f>[4]int.kiadások2022!D18</f>
        <v>3365</v>
      </c>
      <c r="K19" s="1529">
        <f>'[5]int.kiadások RM III'!J19</f>
        <v>7854</v>
      </c>
      <c r="L19" s="1529">
        <v>6401</v>
      </c>
      <c r="M19" s="1530">
        <f t="shared" si="2"/>
        <v>0.81499872676343266</v>
      </c>
      <c r="N19" s="1528" t="s">
        <v>1222</v>
      </c>
      <c r="O19" s="1529">
        <f>[4]int.kiadások2022!E18</f>
        <v>0</v>
      </c>
      <c r="P19" s="1529">
        <f>'[5]int.kiadások RM III'!N19</f>
        <v>0</v>
      </c>
      <c r="Q19" s="1529"/>
      <c r="R19" s="1530"/>
      <c r="S19" s="1529">
        <f>[4]int.kiadások2022!F18</f>
        <v>0</v>
      </c>
      <c r="T19" s="1529">
        <f>'[5]int.kiadások RM III'!Q19</f>
        <v>0</v>
      </c>
      <c r="U19" s="1529"/>
      <c r="V19" s="1530"/>
      <c r="W19" s="1531">
        <f t="shared" si="3"/>
        <v>159587</v>
      </c>
      <c r="X19" s="1531">
        <f t="shared" si="3"/>
        <v>165126</v>
      </c>
      <c r="Y19" s="1531">
        <f t="shared" si="3"/>
        <v>154048</v>
      </c>
      <c r="Z19" s="1532">
        <f t="shared" si="4"/>
        <v>0.9329118370214261</v>
      </c>
      <c r="AA19" s="1528" t="s">
        <v>1222</v>
      </c>
      <c r="AB19" s="1529">
        <f>[4]int.kiadások2022!I18</f>
        <v>0</v>
      </c>
      <c r="AC19" s="1529">
        <f>'[5]int.kiadások RM III'!X19</f>
        <v>467</v>
      </c>
      <c r="AD19" s="1529">
        <v>466</v>
      </c>
      <c r="AE19" s="1530">
        <f t="shared" si="5"/>
        <v>0.99785867237687365</v>
      </c>
      <c r="AF19" s="1529">
        <f>[4]int.kiadások2022!J18</f>
        <v>0</v>
      </c>
      <c r="AG19" s="1529">
        <f>'[5]int.kiadások RM III'!AA19</f>
        <v>0</v>
      </c>
      <c r="AH19" s="1529"/>
      <c r="AI19" s="1530"/>
      <c r="AJ19" s="1529">
        <f>[4]int.kiadások2022!K18</f>
        <v>0</v>
      </c>
      <c r="AK19" s="1529">
        <f>'[5]int.kiadások RM III'!AD19</f>
        <v>0</v>
      </c>
      <c r="AL19" s="1529"/>
      <c r="AM19" s="1530"/>
      <c r="AN19" s="1528" t="s">
        <v>1222</v>
      </c>
      <c r="AO19" s="1531">
        <f t="shared" si="6"/>
        <v>0</v>
      </c>
      <c r="AP19" s="1531">
        <f t="shared" si="6"/>
        <v>467</v>
      </c>
      <c r="AQ19" s="1531">
        <f t="shared" si="6"/>
        <v>466</v>
      </c>
      <c r="AR19" s="1532">
        <f t="shared" si="7"/>
        <v>0.99785867237687365</v>
      </c>
      <c r="AS19" s="1531">
        <f t="shared" si="8"/>
        <v>159587</v>
      </c>
      <c r="AT19" s="1531">
        <f t="shared" si="8"/>
        <v>165593</v>
      </c>
      <c r="AU19" s="1531">
        <f>Y19+AQ19</f>
        <v>154514</v>
      </c>
      <c r="AV19" s="1532">
        <f t="shared" si="9"/>
        <v>0.9330949979769676</v>
      </c>
      <c r="AW19" s="1652"/>
      <c r="AX19" s="1652"/>
      <c r="AY19" s="1652"/>
      <c r="AZ19" s="1652"/>
      <c r="BA19" s="1652"/>
      <c r="BB19" s="1652"/>
      <c r="BC19" s="1652"/>
      <c r="BD19" s="1652"/>
      <c r="BE19" s="1652"/>
      <c r="BF19" s="1652"/>
      <c r="BG19" s="1652"/>
      <c r="BH19" s="1652"/>
      <c r="BI19" s="1652"/>
    </row>
    <row r="20" spans="1:61" s="1653" customFormat="1" ht="49.5" customHeight="1" x14ac:dyDescent="0.65">
      <c r="A20" s="1528" t="s">
        <v>1223</v>
      </c>
      <c r="B20" s="1529">
        <f>[4]int.kiadások2022!B19</f>
        <v>70992</v>
      </c>
      <c r="C20" s="1529">
        <f>'[5]int.kiadások RM III'!D20</f>
        <v>72427</v>
      </c>
      <c r="D20" s="1529">
        <v>67556</v>
      </c>
      <c r="E20" s="1530">
        <f t="shared" si="0"/>
        <v>0.93274607535863696</v>
      </c>
      <c r="F20" s="1529">
        <f>[4]int.kiadások2022!C19</f>
        <v>9326</v>
      </c>
      <c r="G20" s="1529">
        <f>'[5]int.kiadások RM III'!G20</f>
        <v>9824</v>
      </c>
      <c r="H20" s="1529">
        <v>9175</v>
      </c>
      <c r="I20" s="1530">
        <f t="shared" si="1"/>
        <v>0.93393729641693812</v>
      </c>
      <c r="J20" s="1529">
        <f>[4]int.kiadások2022!D19</f>
        <v>2146</v>
      </c>
      <c r="K20" s="1529">
        <f>'[5]int.kiadások RM III'!J20</f>
        <v>2613</v>
      </c>
      <c r="L20" s="1529">
        <v>1779</v>
      </c>
      <c r="M20" s="1530">
        <f t="shared" si="2"/>
        <v>0.68082663605051663</v>
      </c>
      <c r="N20" s="1528" t="s">
        <v>1223</v>
      </c>
      <c r="O20" s="1529">
        <f>[4]int.kiadások2022!E19</f>
        <v>0</v>
      </c>
      <c r="P20" s="1529">
        <f>'[5]int.kiadások RM III'!N20</f>
        <v>0</v>
      </c>
      <c r="Q20" s="1529"/>
      <c r="R20" s="1530"/>
      <c r="S20" s="1529">
        <f>[4]int.kiadások2022!F19</f>
        <v>0</v>
      </c>
      <c r="T20" s="1529">
        <f>'[5]int.kiadások RM III'!Q20</f>
        <v>0</v>
      </c>
      <c r="U20" s="1529"/>
      <c r="V20" s="1530"/>
      <c r="W20" s="1531">
        <f t="shared" si="3"/>
        <v>82464</v>
      </c>
      <c r="X20" s="1531">
        <f t="shared" si="3"/>
        <v>84864</v>
      </c>
      <c r="Y20" s="1531">
        <f t="shared" si="3"/>
        <v>78510</v>
      </c>
      <c r="Z20" s="1532">
        <f t="shared" si="4"/>
        <v>0.9251272624434389</v>
      </c>
      <c r="AA20" s="1528" t="s">
        <v>1223</v>
      </c>
      <c r="AB20" s="1529">
        <f>[4]int.kiadások2022!I19</f>
        <v>0</v>
      </c>
      <c r="AC20" s="1529">
        <f>'[5]int.kiadások RM III'!X20</f>
        <v>2243</v>
      </c>
      <c r="AD20" s="1529">
        <v>2242</v>
      </c>
      <c r="AE20" s="1530">
        <f t="shared" si="5"/>
        <v>0.99955416852429779</v>
      </c>
      <c r="AF20" s="1529">
        <f>[4]int.kiadások2022!J19</f>
        <v>0</v>
      </c>
      <c r="AG20" s="1529">
        <f>'[5]int.kiadások RM III'!AA20</f>
        <v>0</v>
      </c>
      <c r="AH20" s="1529"/>
      <c r="AI20" s="1530"/>
      <c r="AJ20" s="1529">
        <f>[4]int.kiadások2022!K19</f>
        <v>0</v>
      </c>
      <c r="AK20" s="1529">
        <f>'[5]int.kiadások RM III'!AD20</f>
        <v>0</v>
      </c>
      <c r="AL20" s="1529"/>
      <c r="AM20" s="1530"/>
      <c r="AN20" s="1528" t="s">
        <v>1223</v>
      </c>
      <c r="AO20" s="1531">
        <f t="shared" si="6"/>
        <v>0</v>
      </c>
      <c r="AP20" s="1531">
        <f t="shared" si="6"/>
        <v>2243</v>
      </c>
      <c r="AQ20" s="1531">
        <f t="shared" si="6"/>
        <v>2242</v>
      </c>
      <c r="AR20" s="1532">
        <f t="shared" si="7"/>
        <v>0.99955416852429779</v>
      </c>
      <c r="AS20" s="1531">
        <f t="shared" si="8"/>
        <v>82464</v>
      </c>
      <c r="AT20" s="1531">
        <f t="shared" si="8"/>
        <v>87107</v>
      </c>
      <c r="AU20" s="1531">
        <f t="shared" si="8"/>
        <v>80752</v>
      </c>
      <c r="AV20" s="1532">
        <f t="shared" si="9"/>
        <v>0.92704375078925916</v>
      </c>
      <c r="AW20" s="1652"/>
      <c r="AX20" s="1652"/>
      <c r="AY20" s="1652"/>
      <c r="AZ20" s="1652"/>
      <c r="BA20" s="1652"/>
      <c r="BB20" s="1652"/>
      <c r="BC20" s="1652"/>
      <c r="BD20" s="1652"/>
      <c r="BE20" s="1652"/>
      <c r="BF20" s="1652"/>
      <c r="BG20" s="1652"/>
      <c r="BH20" s="1652"/>
      <c r="BI20" s="1652"/>
    </row>
    <row r="21" spans="1:61" s="1653" customFormat="1" ht="49.5" customHeight="1" x14ac:dyDescent="0.65">
      <c r="A21" s="1528" t="s">
        <v>1224</v>
      </c>
      <c r="B21" s="1529">
        <f>[4]int.kiadások2022!B20</f>
        <v>62657</v>
      </c>
      <c r="C21" s="1529">
        <f>'[5]int.kiadások RM III'!D21</f>
        <v>65023</v>
      </c>
      <c r="D21" s="1529">
        <v>61464</v>
      </c>
      <c r="E21" s="1530">
        <f t="shared" si="0"/>
        <v>0.94526552143087827</v>
      </c>
      <c r="F21" s="1529">
        <f>[4]int.kiadások2022!C20</f>
        <v>8223</v>
      </c>
      <c r="G21" s="1529">
        <f>'[5]int.kiadások RM III'!G21</f>
        <v>9177</v>
      </c>
      <c r="H21" s="1529">
        <v>8645</v>
      </c>
      <c r="I21" s="1530">
        <f t="shared" si="1"/>
        <v>0.94202898550724634</v>
      </c>
      <c r="J21" s="1529">
        <f>[4]int.kiadások2022!D20</f>
        <v>1923</v>
      </c>
      <c r="K21" s="1529">
        <f>'[5]int.kiadások RM III'!J21</f>
        <v>3415</v>
      </c>
      <c r="L21" s="1529">
        <v>2780</v>
      </c>
      <c r="M21" s="1530">
        <f t="shared" si="2"/>
        <v>0.81405563689604687</v>
      </c>
      <c r="N21" s="1528" t="s">
        <v>1224</v>
      </c>
      <c r="O21" s="1529">
        <f>[4]int.kiadások2022!E20</f>
        <v>0</v>
      </c>
      <c r="P21" s="1529">
        <f>'[5]int.kiadások RM III'!N21</f>
        <v>0</v>
      </c>
      <c r="Q21" s="1529"/>
      <c r="R21" s="1530"/>
      <c r="S21" s="1529">
        <f>[4]int.kiadások2022!F20</f>
        <v>0</v>
      </c>
      <c r="T21" s="1529">
        <f>'[5]int.kiadások RM III'!Q21</f>
        <v>0</v>
      </c>
      <c r="U21" s="1529"/>
      <c r="V21" s="1530"/>
      <c r="W21" s="1531">
        <f t="shared" si="3"/>
        <v>72803</v>
      </c>
      <c r="X21" s="1531">
        <f t="shared" si="3"/>
        <v>77615</v>
      </c>
      <c r="Y21" s="1531">
        <f t="shared" si="3"/>
        <v>72889</v>
      </c>
      <c r="Z21" s="1532">
        <f t="shared" si="4"/>
        <v>0.9391097081749662</v>
      </c>
      <c r="AA21" s="1528" t="s">
        <v>1224</v>
      </c>
      <c r="AB21" s="1529">
        <f>[4]int.kiadások2022!I20</f>
        <v>0</v>
      </c>
      <c r="AC21" s="1529">
        <f>'[5]int.kiadások RM III'!X21</f>
        <v>982</v>
      </c>
      <c r="AD21" s="1529">
        <v>981</v>
      </c>
      <c r="AE21" s="1530">
        <f t="shared" si="5"/>
        <v>0.99898167006109984</v>
      </c>
      <c r="AF21" s="1529">
        <f>[4]int.kiadások2022!J20</f>
        <v>0</v>
      </c>
      <c r="AG21" s="1529">
        <f>'[5]int.kiadások RM III'!AA21</f>
        <v>0</v>
      </c>
      <c r="AH21" s="1529"/>
      <c r="AI21" s="1530"/>
      <c r="AJ21" s="1529">
        <f>[4]int.kiadások2022!K20</f>
        <v>0</v>
      </c>
      <c r="AK21" s="1529">
        <f>'[5]int.kiadások RM III'!AD21</f>
        <v>0</v>
      </c>
      <c r="AL21" s="1529"/>
      <c r="AM21" s="1530"/>
      <c r="AN21" s="1528" t="s">
        <v>1224</v>
      </c>
      <c r="AO21" s="1531">
        <f t="shared" si="6"/>
        <v>0</v>
      </c>
      <c r="AP21" s="1531">
        <f t="shared" si="6"/>
        <v>982</v>
      </c>
      <c r="AQ21" s="1531">
        <f t="shared" si="6"/>
        <v>981</v>
      </c>
      <c r="AR21" s="1532">
        <f t="shared" si="7"/>
        <v>0.99898167006109984</v>
      </c>
      <c r="AS21" s="1531">
        <f t="shared" si="8"/>
        <v>72803</v>
      </c>
      <c r="AT21" s="1531">
        <f t="shared" si="8"/>
        <v>78597</v>
      </c>
      <c r="AU21" s="1531">
        <f t="shared" si="8"/>
        <v>73870</v>
      </c>
      <c r="AV21" s="1532">
        <f t="shared" si="9"/>
        <v>0.93985775538506555</v>
      </c>
      <c r="AW21" s="1652"/>
      <c r="AX21" s="1652"/>
      <c r="AY21" s="1652"/>
      <c r="AZ21" s="1652"/>
      <c r="BA21" s="1652"/>
      <c r="BB21" s="1652"/>
      <c r="BC21" s="1652"/>
      <c r="BD21" s="1652"/>
      <c r="BE21" s="1652"/>
      <c r="BF21" s="1652"/>
      <c r="BG21" s="1652"/>
      <c r="BH21" s="1652"/>
      <c r="BI21" s="1652"/>
    </row>
    <row r="22" spans="1:61" s="1653" customFormat="1" ht="49.5" customHeight="1" x14ac:dyDescent="0.65">
      <c r="A22" s="1528" t="s">
        <v>1225</v>
      </c>
      <c r="B22" s="1529">
        <f>[4]int.kiadások2022!B21</f>
        <v>84874</v>
      </c>
      <c r="C22" s="1529">
        <f>'[5]int.kiadások RM III'!D22</f>
        <v>90537</v>
      </c>
      <c r="D22" s="1529">
        <v>81375</v>
      </c>
      <c r="E22" s="1530">
        <f t="shared" si="0"/>
        <v>0.89880380396964776</v>
      </c>
      <c r="F22" s="1529">
        <f>[4]int.kiadások2022!C21</f>
        <v>11115</v>
      </c>
      <c r="G22" s="1529">
        <f>'[5]int.kiadások RM III'!G22</f>
        <v>10765</v>
      </c>
      <c r="H22" s="1529">
        <v>9564</v>
      </c>
      <c r="I22" s="1530">
        <f t="shared" si="1"/>
        <v>0.88843474222015795</v>
      </c>
      <c r="J22" s="1529">
        <f>[4]int.kiadások2022!D21</f>
        <v>2544</v>
      </c>
      <c r="K22" s="1529">
        <f>'[5]int.kiadások RM III'!J22</f>
        <v>5010</v>
      </c>
      <c r="L22" s="1529">
        <v>3453</v>
      </c>
      <c r="M22" s="1530">
        <f t="shared" si="2"/>
        <v>0.68922155688622755</v>
      </c>
      <c r="N22" s="1528" t="s">
        <v>1225</v>
      </c>
      <c r="O22" s="1529">
        <f>[4]int.kiadások2022!E21</f>
        <v>0</v>
      </c>
      <c r="P22" s="1529">
        <f>'[5]int.kiadások RM III'!N22</f>
        <v>0</v>
      </c>
      <c r="Q22" s="1529"/>
      <c r="R22" s="1530"/>
      <c r="S22" s="1529">
        <f>[4]int.kiadások2022!F21</f>
        <v>0</v>
      </c>
      <c r="T22" s="1529">
        <f>'[5]int.kiadások RM III'!Q22</f>
        <v>0</v>
      </c>
      <c r="U22" s="1529"/>
      <c r="V22" s="1530"/>
      <c r="W22" s="1531">
        <f t="shared" si="3"/>
        <v>98533</v>
      </c>
      <c r="X22" s="1531">
        <f t="shared" si="3"/>
        <v>106312</v>
      </c>
      <c r="Y22" s="1531">
        <f t="shared" si="3"/>
        <v>94392</v>
      </c>
      <c r="Z22" s="1532">
        <f t="shared" si="4"/>
        <v>0.88787719166227708</v>
      </c>
      <c r="AA22" s="1528" t="s">
        <v>1225</v>
      </c>
      <c r="AB22" s="1529">
        <f>[4]int.kiadások2022!I21</f>
        <v>0</v>
      </c>
      <c r="AC22" s="1529">
        <f>'[5]int.kiadások RM III'!X22</f>
        <v>486</v>
      </c>
      <c r="AD22" s="1529">
        <v>486</v>
      </c>
      <c r="AE22" s="1530">
        <f t="shared" si="5"/>
        <v>1</v>
      </c>
      <c r="AF22" s="1529">
        <f>[4]int.kiadások2022!J21</f>
        <v>0</v>
      </c>
      <c r="AG22" s="1529">
        <f>'[5]int.kiadások RM III'!AA22</f>
        <v>1288</v>
      </c>
      <c r="AH22" s="1529">
        <v>1288</v>
      </c>
      <c r="AI22" s="1530">
        <f>AH22/AG22</f>
        <v>1</v>
      </c>
      <c r="AJ22" s="1529">
        <f>[4]int.kiadások2022!K21</f>
        <v>0</v>
      </c>
      <c r="AK22" s="1529">
        <f>'[5]int.kiadások RM III'!AD22</f>
        <v>0</v>
      </c>
      <c r="AL22" s="1529"/>
      <c r="AM22" s="1530"/>
      <c r="AN22" s="1528" t="s">
        <v>1225</v>
      </c>
      <c r="AO22" s="1531">
        <f t="shared" si="6"/>
        <v>0</v>
      </c>
      <c r="AP22" s="1531">
        <f t="shared" si="6"/>
        <v>1774</v>
      </c>
      <c r="AQ22" s="1531">
        <f t="shared" si="6"/>
        <v>1774</v>
      </c>
      <c r="AR22" s="1532">
        <f t="shared" si="7"/>
        <v>1</v>
      </c>
      <c r="AS22" s="1531">
        <f t="shared" si="8"/>
        <v>98533</v>
      </c>
      <c r="AT22" s="1531">
        <f t="shared" si="8"/>
        <v>108086</v>
      </c>
      <c r="AU22" s="1531">
        <f t="shared" si="8"/>
        <v>96166</v>
      </c>
      <c r="AV22" s="1532">
        <f t="shared" si="9"/>
        <v>0.88971744721795609</v>
      </c>
      <c r="AW22" s="1652"/>
      <c r="AX22" s="1652"/>
      <c r="AY22" s="1652"/>
      <c r="AZ22" s="1652"/>
      <c r="BA22" s="1652"/>
      <c r="BB22" s="1652"/>
      <c r="BC22" s="1652"/>
      <c r="BD22" s="1652"/>
      <c r="BE22" s="1652"/>
      <c r="BF22" s="1652"/>
      <c r="BG22" s="1652"/>
      <c r="BH22" s="1652"/>
      <c r="BI22" s="1652"/>
    </row>
    <row r="23" spans="1:61" s="1653" customFormat="1" ht="49.5" customHeight="1" x14ac:dyDescent="0.65">
      <c r="A23" s="1528" t="s">
        <v>1226</v>
      </c>
      <c r="B23" s="1529">
        <f>[4]int.kiadások2022!B22</f>
        <v>93012</v>
      </c>
      <c r="C23" s="1529">
        <f>'[5]int.kiadások RM III'!D23</f>
        <v>94164</v>
      </c>
      <c r="D23" s="1529">
        <v>83531</v>
      </c>
      <c r="E23" s="1530">
        <f t="shared" si="0"/>
        <v>0.88707998810585786</v>
      </c>
      <c r="F23" s="1529">
        <f>[4]int.kiadások2022!C22</f>
        <v>12408</v>
      </c>
      <c r="G23" s="1529">
        <f>'[5]int.kiadások RM III'!G23</f>
        <v>12510</v>
      </c>
      <c r="H23" s="1529">
        <v>10962</v>
      </c>
      <c r="I23" s="1530">
        <f t="shared" si="1"/>
        <v>0.87625899280575537</v>
      </c>
      <c r="J23" s="1529">
        <f>[4]int.kiadások2022!D22</f>
        <v>2563</v>
      </c>
      <c r="K23" s="1529">
        <f>'[5]int.kiadások RM III'!J23</f>
        <v>3941</v>
      </c>
      <c r="L23" s="1529">
        <v>3802</v>
      </c>
      <c r="M23" s="1530">
        <f t="shared" si="2"/>
        <v>0.96472976401928445</v>
      </c>
      <c r="N23" s="1528" t="s">
        <v>1226</v>
      </c>
      <c r="O23" s="1529">
        <f>[4]int.kiadások2022!E22</f>
        <v>0</v>
      </c>
      <c r="P23" s="1529">
        <f>'[5]int.kiadások RM III'!N23</f>
        <v>0</v>
      </c>
      <c r="Q23" s="1529"/>
      <c r="R23" s="1530"/>
      <c r="S23" s="1529">
        <f>[4]int.kiadások2022!F22</f>
        <v>0</v>
      </c>
      <c r="T23" s="1529">
        <f>'[5]int.kiadások RM III'!Q23</f>
        <v>0</v>
      </c>
      <c r="U23" s="1529"/>
      <c r="V23" s="1530"/>
      <c r="W23" s="1531">
        <f t="shared" si="3"/>
        <v>107983</v>
      </c>
      <c r="X23" s="1531">
        <f t="shared" si="3"/>
        <v>110615</v>
      </c>
      <c r="Y23" s="1531">
        <f t="shared" si="3"/>
        <v>98295</v>
      </c>
      <c r="Z23" s="1532">
        <f t="shared" si="4"/>
        <v>0.88862270035709445</v>
      </c>
      <c r="AA23" s="1528" t="s">
        <v>1226</v>
      </c>
      <c r="AB23" s="1529">
        <f>[4]int.kiadások2022!I22</f>
        <v>0</v>
      </c>
      <c r="AC23" s="1529">
        <f>'[5]int.kiadások RM III'!X23</f>
        <v>4869</v>
      </c>
      <c r="AD23" s="1529">
        <v>4868</v>
      </c>
      <c r="AE23" s="1530">
        <f t="shared" si="5"/>
        <v>0.99979461901827893</v>
      </c>
      <c r="AF23" s="1529">
        <f>[4]int.kiadások2022!J22</f>
        <v>0</v>
      </c>
      <c r="AG23" s="1529">
        <f>'[5]int.kiadások RM III'!AA23</f>
        <v>0</v>
      </c>
      <c r="AH23" s="1529"/>
      <c r="AI23" s="1530"/>
      <c r="AJ23" s="1529">
        <f>[4]int.kiadások2022!K22</f>
        <v>0</v>
      </c>
      <c r="AK23" s="1529">
        <f>'[5]int.kiadások RM III'!AD23</f>
        <v>0</v>
      </c>
      <c r="AL23" s="1529"/>
      <c r="AM23" s="1530"/>
      <c r="AN23" s="1528" t="s">
        <v>1226</v>
      </c>
      <c r="AO23" s="1531">
        <f t="shared" si="6"/>
        <v>0</v>
      </c>
      <c r="AP23" s="1531">
        <f t="shared" si="6"/>
        <v>4869</v>
      </c>
      <c r="AQ23" s="1531">
        <f t="shared" si="6"/>
        <v>4868</v>
      </c>
      <c r="AR23" s="1532">
        <f t="shared" si="7"/>
        <v>0.99979461901827893</v>
      </c>
      <c r="AS23" s="1531">
        <f t="shared" si="8"/>
        <v>107983</v>
      </c>
      <c r="AT23" s="1531">
        <f t="shared" si="8"/>
        <v>115484</v>
      </c>
      <c r="AU23" s="1531">
        <f t="shared" si="8"/>
        <v>103163</v>
      </c>
      <c r="AV23" s="1532">
        <f t="shared" si="9"/>
        <v>0.89330989574313324</v>
      </c>
      <c r="AW23" s="1652"/>
      <c r="AX23" s="1652"/>
      <c r="AY23" s="1652"/>
      <c r="AZ23" s="1652"/>
      <c r="BA23" s="1652"/>
      <c r="BB23" s="1652"/>
      <c r="BC23" s="1652"/>
      <c r="BD23" s="1652"/>
      <c r="BE23" s="1652"/>
      <c r="BF23" s="1652"/>
      <c r="BG23" s="1652"/>
      <c r="BH23" s="1652"/>
      <c r="BI23" s="1652"/>
    </row>
    <row r="24" spans="1:61" s="1653" customFormat="1" ht="49.5" customHeight="1" x14ac:dyDescent="0.65">
      <c r="A24" s="1528" t="s">
        <v>1227</v>
      </c>
      <c r="B24" s="1529">
        <f>[4]int.kiadások2022!B23</f>
        <v>129392</v>
      </c>
      <c r="C24" s="1529">
        <f>'[5]int.kiadások RM III'!D24</f>
        <v>132853</v>
      </c>
      <c r="D24" s="1529">
        <v>126410</v>
      </c>
      <c r="E24" s="1530">
        <f t="shared" si="0"/>
        <v>0.95150278879663985</v>
      </c>
      <c r="F24" s="1529">
        <f>[4]int.kiadások2022!C23</f>
        <v>19531</v>
      </c>
      <c r="G24" s="1529">
        <f>'[5]int.kiadások RM III'!G24</f>
        <v>20721</v>
      </c>
      <c r="H24" s="1529">
        <v>19878</v>
      </c>
      <c r="I24" s="1530">
        <f t="shared" si="1"/>
        <v>0.9593166352975242</v>
      </c>
      <c r="J24" s="1529">
        <f>[4]int.kiadások2022!D23</f>
        <v>3166</v>
      </c>
      <c r="K24" s="1529">
        <f>'[5]int.kiadások RM III'!J24</f>
        <v>7215</v>
      </c>
      <c r="L24" s="1529">
        <v>4964</v>
      </c>
      <c r="M24" s="1530">
        <f t="shared" si="2"/>
        <v>0.68801108801108801</v>
      </c>
      <c r="N24" s="1528" t="s">
        <v>1227</v>
      </c>
      <c r="O24" s="1529">
        <f>[4]int.kiadások2022!E23</f>
        <v>0</v>
      </c>
      <c r="P24" s="1529">
        <f>'[5]int.kiadások RM III'!N24</f>
        <v>0</v>
      </c>
      <c r="Q24" s="1529"/>
      <c r="R24" s="1530"/>
      <c r="S24" s="1529">
        <f>[4]int.kiadások2022!F23</f>
        <v>0</v>
      </c>
      <c r="T24" s="1529">
        <f>'[5]int.kiadások RM III'!Q24</f>
        <v>0</v>
      </c>
      <c r="U24" s="1529"/>
      <c r="V24" s="1530"/>
      <c r="W24" s="1531">
        <f t="shared" si="3"/>
        <v>152089</v>
      </c>
      <c r="X24" s="1531">
        <f t="shared" si="3"/>
        <v>160789</v>
      </c>
      <c r="Y24" s="1531">
        <f t="shared" si="3"/>
        <v>151252</v>
      </c>
      <c r="Z24" s="1532">
        <f t="shared" si="4"/>
        <v>0.94068624097419595</v>
      </c>
      <c r="AA24" s="1528" t="s">
        <v>1227</v>
      </c>
      <c r="AB24" s="1529">
        <f>[4]int.kiadások2022!I23</f>
        <v>0</v>
      </c>
      <c r="AC24" s="1529">
        <f>'[5]int.kiadások RM III'!X24</f>
        <v>398</v>
      </c>
      <c r="AD24" s="1529">
        <v>398</v>
      </c>
      <c r="AE24" s="1530">
        <f t="shared" si="5"/>
        <v>1</v>
      </c>
      <c r="AF24" s="1529">
        <f>[4]int.kiadások2022!J23</f>
        <v>0</v>
      </c>
      <c r="AG24" s="1529">
        <f>'[5]int.kiadások RM III'!AA24</f>
        <v>0</v>
      </c>
      <c r="AH24" s="1529"/>
      <c r="AI24" s="1530"/>
      <c r="AJ24" s="1529">
        <f>[4]int.kiadások2022!K23</f>
        <v>0</v>
      </c>
      <c r="AK24" s="1529">
        <f>'[5]int.kiadások RM III'!AD24</f>
        <v>0</v>
      </c>
      <c r="AL24" s="1529"/>
      <c r="AM24" s="1530"/>
      <c r="AN24" s="1528" t="s">
        <v>1227</v>
      </c>
      <c r="AO24" s="1531">
        <f t="shared" si="6"/>
        <v>0</v>
      </c>
      <c r="AP24" s="1531">
        <f t="shared" si="6"/>
        <v>398</v>
      </c>
      <c r="AQ24" s="1531">
        <f t="shared" si="6"/>
        <v>398</v>
      </c>
      <c r="AR24" s="1532">
        <f t="shared" si="7"/>
        <v>1</v>
      </c>
      <c r="AS24" s="1531">
        <f t="shared" si="8"/>
        <v>152089</v>
      </c>
      <c r="AT24" s="1531">
        <f t="shared" si="8"/>
        <v>161187</v>
      </c>
      <c r="AU24" s="1531">
        <f t="shared" si="8"/>
        <v>151650</v>
      </c>
      <c r="AV24" s="1532">
        <f t="shared" si="9"/>
        <v>0.94083269742597109</v>
      </c>
      <c r="AW24" s="1652"/>
      <c r="AX24" s="1652"/>
      <c r="AY24" s="1652"/>
      <c r="AZ24" s="1652"/>
      <c r="BA24" s="1652"/>
      <c r="BB24" s="1652"/>
      <c r="BC24" s="1652"/>
      <c r="BD24" s="1652"/>
      <c r="BE24" s="1652"/>
      <c r="BF24" s="1652"/>
      <c r="BG24" s="1652"/>
      <c r="BH24" s="1652"/>
      <c r="BI24" s="1652"/>
    </row>
    <row r="25" spans="1:61" s="1653" customFormat="1" ht="49.5" customHeight="1" x14ac:dyDescent="0.65">
      <c r="A25" s="1528" t="s">
        <v>1254</v>
      </c>
      <c r="B25" s="1529">
        <f>[4]int.kiadások2022!B24</f>
        <v>107496</v>
      </c>
      <c r="C25" s="1529">
        <f>'[5]int.kiadások RM III'!D25</f>
        <v>105031</v>
      </c>
      <c r="D25" s="1529">
        <v>97119</v>
      </c>
      <c r="E25" s="1530">
        <f t="shared" si="0"/>
        <v>0.92466985937485124</v>
      </c>
      <c r="F25" s="1529">
        <f>[4]int.kiadások2022!C24</f>
        <v>14148</v>
      </c>
      <c r="G25" s="1529">
        <f>'[5]int.kiadások RM III'!G25</f>
        <v>13887</v>
      </c>
      <c r="H25" s="1529">
        <v>12744</v>
      </c>
      <c r="I25" s="1530">
        <f t="shared" si="1"/>
        <v>0.91769280622164617</v>
      </c>
      <c r="J25" s="1529">
        <f>[4]int.kiadások2022!D24</f>
        <v>2391</v>
      </c>
      <c r="K25" s="1529">
        <f>'[5]int.kiadások RM III'!J25</f>
        <v>5859</v>
      </c>
      <c r="L25" s="1529">
        <v>4762</v>
      </c>
      <c r="M25" s="1530">
        <f t="shared" si="2"/>
        <v>0.81276668373442562</v>
      </c>
      <c r="N25" s="1528" t="s">
        <v>1254</v>
      </c>
      <c r="O25" s="1529">
        <f>[4]int.kiadások2022!E24</f>
        <v>0</v>
      </c>
      <c r="P25" s="1529">
        <f>'[5]int.kiadások RM III'!N25</f>
        <v>0</v>
      </c>
      <c r="Q25" s="1529"/>
      <c r="R25" s="1530"/>
      <c r="S25" s="1529">
        <f>[4]int.kiadások2022!F24</f>
        <v>0</v>
      </c>
      <c r="T25" s="1529">
        <f>'[5]int.kiadások RM III'!Q25</f>
        <v>0</v>
      </c>
      <c r="U25" s="1529"/>
      <c r="V25" s="1530"/>
      <c r="W25" s="1531">
        <f t="shared" si="3"/>
        <v>124035</v>
      </c>
      <c r="X25" s="1531">
        <f t="shared" si="3"/>
        <v>124777</v>
      </c>
      <c r="Y25" s="1531">
        <f t="shared" si="3"/>
        <v>114625</v>
      </c>
      <c r="Z25" s="1532">
        <f t="shared" si="4"/>
        <v>0.91863885171145321</v>
      </c>
      <c r="AA25" s="1528" t="s">
        <v>1254</v>
      </c>
      <c r="AB25" s="1529">
        <f>[4]int.kiadások2022!I24</f>
        <v>0</v>
      </c>
      <c r="AC25" s="1529">
        <f>'[5]int.kiadások RM III'!X25</f>
        <v>7986</v>
      </c>
      <c r="AD25" s="1529">
        <v>7985</v>
      </c>
      <c r="AE25" s="1530">
        <f t="shared" si="5"/>
        <v>0.99987478086651638</v>
      </c>
      <c r="AF25" s="1529">
        <f>[4]int.kiadások2022!J24</f>
        <v>0</v>
      </c>
      <c r="AG25" s="1529">
        <f>'[5]int.kiadások RM III'!AA25</f>
        <v>0</v>
      </c>
      <c r="AH25" s="1529"/>
      <c r="AI25" s="1530"/>
      <c r="AJ25" s="1529">
        <f>[4]int.kiadások2022!K24</f>
        <v>0</v>
      </c>
      <c r="AK25" s="1529">
        <f>'[5]int.kiadások RM III'!AD25</f>
        <v>0</v>
      </c>
      <c r="AL25" s="1529"/>
      <c r="AM25" s="1530"/>
      <c r="AN25" s="1528" t="s">
        <v>1254</v>
      </c>
      <c r="AO25" s="1531">
        <f t="shared" si="6"/>
        <v>0</v>
      </c>
      <c r="AP25" s="1531">
        <f t="shared" si="6"/>
        <v>7986</v>
      </c>
      <c r="AQ25" s="1531">
        <f t="shared" si="6"/>
        <v>7985</v>
      </c>
      <c r="AR25" s="1532">
        <f t="shared" si="7"/>
        <v>0.99987478086651638</v>
      </c>
      <c r="AS25" s="1531">
        <f t="shared" si="8"/>
        <v>124035</v>
      </c>
      <c r="AT25" s="1531">
        <f t="shared" si="8"/>
        <v>132763</v>
      </c>
      <c r="AU25" s="1531">
        <f t="shared" si="8"/>
        <v>122610</v>
      </c>
      <c r="AV25" s="1532">
        <f t="shared" si="9"/>
        <v>0.92352537981214644</v>
      </c>
      <c r="AW25" s="1652"/>
      <c r="AX25" s="1652"/>
      <c r="AY25" s="1652"/>
      <c r="AZ25" s="1652"/>
      <c r="BA25" s="1652"/>
      <c r="BB25" s="1652"/>
      <c r="BC25" s="1652"/>
      <c r="BD25" s="1652"/>
      <c r="BE25" s="1652"/>
      <c r="BF25" s="1652"/>
      <c r="BG25" s="1652"/>
      <c r="BH25" s="1652"/>
      <c r="BI25" s="1652"/>
    </row>
    <row r="26" spans="1:61" s="1653" customFormat="1" ht="49.5" customHeight="1" x14ac:dyDescent="0.65">
      <c r="A26" s="1528" t="s">
        <v>1229</v>
      </c>
      <c r="B26" s="1529">
        <f>[4]int.kiadások2022!B25</f>
        <v>75505</v>
      </c>
      <c r="C26" s="1529">
        <f>'[5]int.kiadások RM III'!D26</f>
        <v>77706</v>
      </c>
      <c r="D26" s="1529">
        <v>73663</v>
      </c>
      <c r="E26" s="1530">
        <f t="shared" si="0"/>
        <v>0.94797055568424571</v>
      </c>
      <c r="F26" s="1529">
        <f>[4]int.kiadások2022!C25</f>
        <v>9852</v>
      </c>
      <c r="G26" s="1529">
        <f>'[5]int.kiadások RM III'!G26</f>
        <v>10151</v>
      </c>
      <c r="H26" s="1529">
        <v>9554</v>
      </c>
      <c r="I26" s="1530">
        <f t="shared" si="1"/>
        <v>0.94118806028962665</v>
      </c>
      <c r="J26" s="1529">
        <f>[4]int.kiadások2022!D25</f>
        <v>2514</v>
      </c>
      <c r="K26" s="1529">
        <f>'[5]int.kiadások RM III'!J26</f>
        <v>4076</v>
      </c>
      <c r="L26" s="1529">
        <v>3180</v>
      </c>
      <c r="M26" s="1530">
        <f t="shared" si="2"/>
        <v>0.78017664376840035</v>
      </c>
      <c r="N26" s="1528" t="s">
        <v>1229</v>
      </c>
      <c r="O26" s="1529">
        <f>[4]int.kiadások2022!E25</f>
        <v>0</v>
      </c>
      <c r="P26" s="1529">
        <f>'[5]int.kiadások RM III'!N26</f>
        <v>0</v>
      </c>
      <c r="Q26" s="1529"/>
      <c r="R26" s="1530"/>
      <c r="S26" s="1529">
        <f>[4]int.kiadások2022!F25</f>
        <v>0</v>
      </c>
      <c r="T26" s="1529">
        <f>'[5]int.kiadások RM III'!Q26</f>
        <v>0</v>
      </c>
      <c r="U26" s="1529"/>
      <c r="V26" s="1530"/>
      <c r="W26" s="1531">
        <f t="shared" si="3"/>
        <v>87871</v>
      </c>
      <c r="X26" s="1531">
        <f t="shared" si="3"/>
        <v>91933</v>
      </c>
      <c r="Y26" s="1531">
        <f t="shared" si="3"/>
        <v>86397</v>
      </c>
      <c r="Z26" s="1532">
        <f t="shared" si="4"/>
        <v>0.93978223271295402</v>
      </c>
      <c r="AA26" s="1528" t="s">
        <v>1229</v>
      </c>
      <c r="AB26" s="1529">
        <f>[4]int.kiadások2022!I25</f>
        <v>0</v>
      </c>
      <c r="AC26" s="1529">
        <f>'[5]int.kiadások RM III'!X26</f>
        <v>1838</v>
      </c>
      <c r="AD26" s="1529">
        <v>1838</v>
      </c>
      <c r="AE26" s="1530">
        <f t="shared" si="5"/>
        <v>1</v>
      </c>
      <c r="AF26" s="1529">
        <f>[4]int.kiadások2022!J25</f>
        <v>0</v>
      </c>
      <c r="AG26" s="1529">
        <f>'[5]int.kiadások RM III'!AA26</f>
        <v>72</v>
      </c>
      <c r="AH26" s="1529">
        <v>71</v>
      </c>
      <c r="AI26" s="1530">
        <f>AH26/AG26</f>
        <v>0.98611111111111116</v>
      </c>
      <c r="AJ26" s="1529">
        <f>[4]int.kiadások2022!K25</f>
        <v>0</v>
      </c>
      <c r="AK26" s="1529">
        <f>'[5]int.kiadások RM III'!AD26</f>
        <v>0</v>
      </c>
      <c r="AL26" s="1529"/>
      <c r="AM26" s="1530"/>
      <c r="AN26" s="1528" t="s">
        <v>1229</v>
      </c>
      <c r="AO26" s="1531">
        <f t="shared" si="6"/>
        <v>0</v>
      </c>
      <c r="AP26" s="1531">
        <f t="shared" si="6"/>
        <v>1910</v>
      </c>
      <c r="AQ26" s="1531">
        <f t="shared" si="6"/>
        <v>1909</v>
      </c>
      <c r="AR26" s="1532">
        <f t="shared" si="7"/>
        <v>0.99947643979057588</v>
      </c>
      <c r="AS26" s="1531">
        <f t="shared" si="8"/>
        <v>87871</v>
      </c>
      <c r="AT26" s="1531">
        <f t="shared" si="8"/>
        <v>93843</v>
      </c>
      <c r="AU26" s="1531">
        <f t="shared" si="8"/>
        <v>88306</v>
      </c>
      <c r="AV26" s="1532">
        <f t="shared" si="9"/>
        <v>0.94099719744679944</v>
      </c>
      <c r="AW26" s="1652"/>
      <c r="AX26" s="1652"/>
      <c r="AY26" s="1652"/>
      <c r="AZ26" s="1652"/>
      <c r="BA26" s="1652"/>
      <c r="BB26" s="1652"/>
      <c r="BC26" s="1652"/>
      <c r="BD26" s="1652"/>
      <c r="BE26" s="1652"/>
      <c r="BF26" s="1652"/>
      <c r="BG26" s="1652"/>
      <c r="BH26" s="1652"/>
      <c r="BI26" s="1652"/>
    </row>
    <row r="27" spans="1:61" s="1653" customFormat="1" ht="49.5" customHeight="1" thickBot="1" x14ac:dyDescent="0.7">
      <c r="A27" s="1533" t="s">
        <v>1230</v>
      </c>
      <c r="B27" s="1534">
        <f>[4]int.kiadások2022!B26</f>
        <v>60582</v>
      </c>
      <c r="C27" s="1529">
        <f>'[5]int.kiadások RM III'!D27</f>
        <v>62629</v>
      </c>
      <c r="D27" s="1534">
        <v>60692</v>
      </c>
      <c r="E27" s="1535">
        <f t="shared" si="0"/>
        <v>0.96907183573105116</v>
      </c>
      <c r="F27" s="1534">
        <f>[4]int.kiadások2022!C26</f>
        <v>7903</v>
      </c>
      <c r="G27" s="1529">
        <f>'[5]int.kiadások RM III'!G27</f>
        <v>8268</v>
      </c>
      <c r="H27" s="1529">
        <v>7972</v>
      </c>
      <c r="I27" s="1535">
        <f t="shared" si="1"/>
        <v>0.96419932268988873</v>
      </c>
      <c r="J27" s="1534">
        <f>[4]int.kiadások2022!D26</f>
        <v>2546</v>
      </c>
      <c r="K27" s="1529">
        <f>'[5]int.kiadások RM III'!J27</f>
        <v>3476</v>
      </c>
      <c r="L27" s="1534">
        <v>2960</v>
      </c>
      <c r="M27" s="1535">
        <f t="shared" si="2"/>
        <v>0.85155350978135791</v>
      </c>
      <c r="N27" s="1533" t="s">
        <v>1230</v>
      </c>
      <c r="O27" s="1534">
        <f>[4]int.kiadások2022!E26</f>
        <v>0</v>
      </c>
      <c r="P27" s="1529">
        <f>'[5]int.kiadások RM III'!N27</f>
        <v>0</v>
      </c>
      <c r="Q27" s="1534"/>
      <c r="R27" s="1535"/>
      <c r="S27" s="1534">
        <f>[4]int.kiadások2022!F26</f>
        <v>0</v>
      </c>
      <c r="T27" s="1534">
        <f>'[5]int.kiadások RM III'!Q27</f>
        <v>0</v>
      </c>
      <c r="U27" s="1534"/>
      <c r="V27" s="1535"/>
      <c r="W27" s="1531">
        <f t="shared" si="3"/>
        <v>71031</v>
      </c>
      <c r="X27" s="1531">
        <f t="shared" si="3"/>
        <v>74373</v>
      </c>
      <c r="Y27" s="1531">
        <f t="shared" si="3"/>
        <v>71624</v>
      </c>
      <c r="Z27" s="1536">
        <f t="shared" si="4"/>
        <v>0.96303766151694836</v>
      </c>
      <c r="AA27" s="1533" t="s">
        <v>1230</v>
      </c>
      <c r="AB27" s="1534">
        <f>[4]int.kiadások2022!I26</f>
        <v>0</v>
      </c>
      <c r="AC27" s="1529">
        <f>'[5]int.kiadások RM III'!X27</f>
        <v>1130</v>
      </c>
      <c r="AD27" s="1534">
        <v>1129</v>
      </c>
      <c r="AE27" s="1535">
        <f t="shared" si="5"/>
        <v>0.99911504424778763</v>
      </c>
      <c r="AF27" s="1534">
        <f>[4]int.kiadások2022!J26</f>
        <v>0</v>
      </c>
      <c r="AG27" s="1529">
        <f>'[5]int.kiadások RM III'!AA27</f>
        <v>0</v>
      </c>
      <c r="AH27" s="1534"/>
      <c r="AI27" s="1535"/>
      <c r="AJ27" s="1534">
        <f>[4]int.kiadások2022!K26</f>
        <v>0</v>
      </c>
      <c r="AK27" s="1534">
        <f>'[5]int.kiadások RM III'!AD27</f>
        <v>0</v>
      </c>
      <c r="AL27" s="1534"/>
      <c r="AM27" s="1535"/>
      <c r="AN27" s="1533" t="s">
        <v>1230</v>
      </c>
      <c r="AO27" s="1531">
        <f t="shared" si="6"/>
        <v>0</v>
      </c>
      <c r="AP27" s="1531">
        <f t="shared" si="6"/>
        <v>1130</v>
      </c>
      <c r="AQ27" s="1531">
        <f t="shared" si="6"/>
        <v>1129</v>
      </c>
      <c r="AR27" s="1536">
        <f t="shared" si="7"/>
        <v>0.99911504424778763</v>
      </c>
      <c r="AS27" s="1531">
        <f t="shared" si="8"/>
        <v>71031</v>
      </c>
      <c r="AT27" s="1531">
        <f t="shared" si="8"/>
        <v>75503</v>
      </c>
      <c r="AU27" s="1531">
        <f t="shared" si="8"/>
        <v>72753</v>
      </c>
      <c r="AV27" s="1536">
        <f t="shared" si="9"/>
        <v>0.96357760618783361</v>
      </c>
      <c r="AW27" s="1652"/>
      <c r="AX27" s="1652"/>
      <c r="AY27" s="1652"/>
      <c r="AZ27" s="1652"/>
      <c r="BA27" s="1652"/>
      <c r="BB27" s="1652"/>
      <c r="BC27" s="1652"/>
      <c r="BD27" s="1652"/>
      <c r="BE27" s="1652"/>
      <c r="BF27" s="1652"/>
      <c r="BG27" s="1652"/>
      <c r="BH27" s="1652"/>
      <c r="BI27" s="1652"/>
    </row>
    <row r="28" spans="1:61" s="1653" customFormat="1" ht="49.5" customHeight="1" thickBot="1" x14ac:dyDescent="0.7">
      <c r="A28" s="1538" t="s">
        <v>1231</v>
      </c>
      <c r="B28" s="1539">
        <f>SUM(B10:B27)</f>
        <v>1798935</v>
      </c>
      <c r="C28" s="1539">
        <f>SUM(C10:C27)</f>
        <v>1836942</v>
      </c>
      <c r="D28" s="1539">
        <f>SUM(D10:D27)</f>
        <v>1723975</v>
      </c>
      <c r="E28" s="1540">
        <f t="shared" si="0"/>
        <v>0.93850268544134763</v>
      </c>
      <c r="F28" s="1539">
        <f>SUM(F10:F27)</f>
        <v>251835</v>
      </c>
      <c r="G28" s="1539">
        <f>SUM(G10:G27)</f>
        <v>256926</v>
      </c>
      <c r="H28" s="1539">
        <f>SUM(H10:H27)</f>
        <v>241333</v>
      </c>
      <c r="I28" s="1540">
        <f t="shared" si="1"/>
        <v>0.93930937312689256</v>
      </c>
      <c r="J28" s="1539">
        <f>SUM(J10:J27)</f>
        <v>49127</v>
      </c>
      <c r="K28" s="1539">
        <f>SUM(K10:K27)</f>
        <v>92225</v>
      </c>
      <c r="L28" s="1539">
        <f>SUM(L10:L27)</f>
        <v>71747</v>
      </c>
      <c r="M28" s="1540">
        <f t="shared" si="2"/>
        <v>0.77795608566007046</v>
      </c>
      <c r="N28" s="1538" t="s">
        <v>1231</v>
      </c>
      <c r="O28" s="1539">
        <f>SUM(O10:O27)</f>
        <v>0</v>
      </c>
      <c r="P28" s="1539">
        <f>SUM(P10:P27)</f>
        <v>0</v>
      </c>
      <c r="Q28" s="1539">
        <f>SUM(Q10:Q27)</f>
        <v>0</v>
      </c>
      <c r="R28" s="1540"/>
      <c r="S28" s="1539">
        <f>SUM(S10:S27)</f>
        <v>0</v>
      </c>
      <c r="T28" s="1539">
        <f>SUM(T10:T27)</f>
        <v>0</v>
      </c>
      <c r="U28" s="1539">
        <f>SUM(U10:U27)</f>
        <v>0</v>
      </c>
      <c r="V28" s="1540"/>
      <c r="W28" s="1539">
        <f>SUM(W10:W27)</f>
        <v>2099897</v>
      </c>
      <c r="X28" s="1539">
        <f>SUM(X10:X27)</f>
        <v>2186093</v>
      </c>
      <c r="Y28" s="1539">
        <f>SUM(Y10:Y27)</f>
        <v>2037055</v>
      </c>
      <c r="Z28" s="1540">
        <f t="shared" si="4"/>
        <v>0.93182449237063569</v>
      </c>
      <c r="AA28" s="1538" t="s">
        <v>1231</v>
      </c>
      <c r="AB28" s="1539">
        <f>SUM(AB10:AB27)</f>
        <v>0</v>
      </c>
      <c r="AC28" s="1539">
        <f>SUM(AC10:AC27)</f>
        <v>40731</v>
      </c>
      <c r="AD28" s="1539">
        <f>SUM(AD10:AD27)</f>
        <v>35530</v>
      </c>
      <c r="AE28" s="1540">
        <f t="shared" si="5"/>
        <v>0.87230856104686849</v>
      </c>
      <c r="AF28" s="1539">
        <f>SUM(AF10:AF27)</f>
        <v>0</v>
      </c>
      <c r="AG28" s="1539">
        <f>SUM(AG10:AG27)</f>
        <v>12407</v>
      </c>
      <c r="AH28" s="1539">
        <f>SUM(AH10:AH27)</f>
        <v>12403</v>
      </c>
      <c r="AI28" s="1540">
        <f>AH28/AG28</f>
        <v>0.99967760135407435</v>
      </c>
      <c r="AJ28" s="1539">
        <f>SUM(AJ10:AJ27)</f>
        <v>0</v>
      </c>
      <c r="AK28" s="1539">
        <f>SUM(AK10:AK27)</f>
        <v>0</v>
      </c>
      <c r="AL28" s="1539">
        <f>SUM(AL10:AL27)</f>
        <v>0</v>
      </c>
      <c r="AM28" s="1540"/>
      <c r="AN28" s="1538" t="s">
        <v>1231</v>
      </c>
      <c r="AO28" s="1539">
        <f>SUM(AO10:AO27)</f>
        <v>0</v>
      </c>
      <c r="AP28" s="1539">
        <f>SUM(AP10:AP27)</f>
        <v>53138</v>
      </c>
      <c r="AQ28" s="1539">
        <f>SUM(AQ10:AQ27)</f>
        <v>47933</v>
      </c>
      <c r="AR28" s="1540">
        <f t="shared" si="7"/>
        <v>0.90204749896495917</v>
      </c>
      <c r="AS28" s="1539">
        <f>SUM(AS10:AS27)</f>
        <v>2099897</v>
      </c>
      <c r="AT28" s="1539">
        <f>SUM(AT10:AT27)</f>
        <v>2239231</v>
      </c>
      <c r="AU28" s="1539">
        <f>SUM(AU10:AU27)</f>
        <v>2084988</v>
      </c>
      <c r="AV28" s="1540">
        <f t="shared" si="9"/>
        <v>0.93111787037603533</v>
      </c>
      <c r="AW28" s="1652"/>
      <c r="AX28" s="1652"/>
      <c r="AY28" s="1652"/>
      <c r="AZ28" s="1652"/>
      <c r="BA28" s="1652"/>
      <c r="BB28" s="1652"/>
      <c r="BC28" s="1652"/>
      <c r="BD28" s="1652"/>
      <c r="BE28" s="1652"/>
      <c r="BF28" s="1652"/>
      <c r="BG28" s="1652"/>
      <c r="BH28" s="1652"/>
      <c r="BI28" s="1652"/>
    </row>
    <row r="29" spans="1:61" s="1653" customFormat="1" ht="49.5" customHeight="1" thickBot="1" x14ac:dyDescent="0.7">
      <c r="A29" s="1541" t="s">
        <v>136</v>
      </c>
      <c r="B29" s="1542">
        <f>[4]int.kiadások2022!B28</f>
        <v>242715</v>
      </c>
      <c r="C29" s="1529">
        <f>'[5]int.kiadások RM III'!D29</f>
        <v>229803</v>
      </c>
      <c r="D29" s="1542">
        <v>215424</v>
      </c>
      <c r="E29" s="1543">
        <f t="shared" si="0"/>
        <v>0.93742901528700673</v>
      </c>
      <c r="F29" s="1542">
        <f>[4]int.kiadások2022!C28</f>
        <v>36120</v>
      </c>
      <c r="G29" s="1529">
        <f>'[5]int.kiadások RM III'!G29</f>
        <v>31065</v>
      </c>
      <c r="H29" s="1542">
        <v>29233</v>
      </c>
      <c r="I29" s="1543">
        <f t="shared" si="1"/>
        <v>0.94102687912441652</v>
      </c>
      <c r="J29" s="1542">
        <f>[4]int.kiadások2022!D28</f>
        <v>1337302</v>
      </c>
      <c r="K29" s="1529">
        <f>'[5]int.kiadások RM III'!J29</f>
        <v>1521901</v>
      </c>
      <c r="L29" s="1542">
        <v>1486338</v>
      </c>
      <c r="M29" s="1543">
        <f t="shared" si="2"/>
        <v>0.97663251420427477</v>
      </c>
      <c r="N29" s="1541" t="s">
        <v>136</v>
      </c>
      <c r="O29" s="1542">
        <f>[4]int.kiadások2022!E28</f>
        <v>0</v>
      </c>
      <c r="P29" s="1529">
        <f>'[5]int.kiadások RM III'!N29</f>
        <v>0</v>
      </c>
      <c r="Q29" s="1542"/>
      <c r="R29" s="1543"/>
      <c r="S29" s="1542">
        <f>[4]int.kiadások2022!F28</f>
        <v>0</v>
      </c>
      <c r="T29" s="1542">
        <f>'[5]int.kiadások RM III'!Q29</f>
        <v>0</v>
      </c>
      <c r="U29" s="1542"/>
      <c r="V29" s="1543"/>
      <c r="W29" s="1531">
        <f>B29+F29+J29+O29+S29</f>
        <v>1616137</v>
      </c>
      <c r="X29" s="1531">
        <f>C29+G29+K29+P29+T29</f>
        <v>1782769</v>
      </c>
      <c r="Y29" s="1531">
        <f>D29+H29+L29+Q29+U29</f>
        <v>1730995</v>
      </c>
      <c r="Z29" s="1540">
        <f t="shared" si="4"/>
        <v>0.97095866037607792</v>
      </c>
      <c r="AA29" s="1541" t="s">
        <v>136</v>
      </c>
      <c r="AB29" s="1542">
        <f>[4]int.kiadások2022!I28</f>
        <v>0</v>
      </c>
      <c r="AC29" s="1529">
        <f>'[5]int.kiadások RM III'!X29</f>
        <v>21638</v>
      </c>
      <c r="AD29" s="1542">
        <v>10898</v>
      </c>
      <c r="AE29" s="1543">
        <f t="shared" si="5"/>
        <v>0.50365098437933264</v>
      </c>
      <c r="AF29" s="1542">
        <f>[4]int.kiadások2022!J28</f>
        <v>0</v>
      </c>
      <c r="AG29" s="1529">
        <f>'[5]int.kiadások RM III'!AA29</f>
        <v>42994</v>
      </c>
      <c r="AH29" s="1542">
        <v>23120</v>
      </c>
      <c r="AI29" s="1543">
        <f>AH29/AG29</f>
        <v>0.53774945341210401</v>
      </c>
      <c r="AJ29" s="1542">
        <f>[4]int.kiadások2022!K28</f>
        <v>0</v>
      </c>
      <c r="AK29" s="1542">
        <f>'[5]int.kiadások RM III'!AD29</f>
        <v>0</v>
      </c>
      <c r="AL29" s="1542"/>
      <c r="AM29" s="1543"/>
      <c r="AN29" s="1541" t="s">
        <v>136</v>
      </c>
      <c r="AO29" s="1531">
        <f>AB29+AF29+AJ29</f>
        <v>0</v>
      </c>
      <c r="AP29" s="1531">
        <f>AC29+AG29+AK29</f>
        <v>64632</v>
      </c>
      <c r="AQ29" s="1531">
        <f>AD29+AH29+AL29</f>
        <v>34018</v>
      </c>
      <c r="AR29" s="1540">
        <f t="shared" si="7"/>
        <v>0.52633370466641916</v>
      </c>
      <c r="AS29" s="1531">
        <f>W29+AO29</f>
        <v>1616137</v>
      </c>
      <c r="AT29" s="1531">
        <f>X29+AP29</f>
        <v>1847401</v>
      </c>
      <c r="AU29" s="1531">
        <f>Y29+AQ29</f>
        <v>1765013</v>
      </c>
      <c r="AV29" s="1540">
        <f t="shared" si="9"/>
        <v>0.95540329360003595</v>
      </c>
      <c r="AW29" s="1652"/>
      <c r="AX29" s="1652"/>
      <c r="AY29" s="1652"/>
      <c r="AZ29" s="1652"/>
      <c r="BA29" s="1652"/>
      <c r="BB29" s="1652"/>
      <c r="BC29" s="1652"/>
      <c r="BD29" s="1652"/>
      <c r="BE29" s="1652"/>
      <c r="BF29" s="1652"/>
      <c r="BG29" s="1652"/>
      <c r="BH29" s="1652"/>
      <c r="BI29" s="1652"/>
    </row>
    <row r="30" spans="1:61" s="1653" customFormat="1" ht="49.5" customHeight="1" thickBot="1" x14ac:dyDescent="0.7">
      <c r="A30" s="1538" t="s">
        <v>1232</v>
      </c>
      <c r="B30" s="1539">
        <f>SUM(B28:B29)</f>
        <v>2041650</v>
      </c>
      <c r="C30" s="1539">
        <f>SUM(C28:C29)</f>
        <v>2066745</v>
      </c>
      <c r="D30" s="1539">
        <f>SUM(D28:D29)</f>
        <v>1939399</v>
      </c>
      <c r="E30" s="1544">
        <f t="shared" si="0"/>
        <v>0.93838330321350727</v>
      </c>
      <c r="F30" s="1539">
        <f>SUM(F28:F29)</f>
        <v>287955</v>
      </c>
      <c r="G30" s="1539">
        <f>SUM(G28:G29)</f>
        <v>287991</v>
      </c>
      <c r="H30" s="1539">
        <f>SUM(H28:H29)</f>
        <v>270566</v>
      </c>
      <c r="I30" s="1544">
        <f t="shared" si="1"/>
        <v>0.93949463698518354</v>
      </c>
      <c r="J30" s="1539">
        <f>SUM(J28:J29)</f>
        <v>1386429</v>
      </c>
      <c r="K30" s="1539">
        <f>SUM(K28:K29)</f>
        <v>1614126</v>
      </c>
      <c r="L30" s="1539">
        <f>SUM(L28:L29)</f>
        <v>1558085</v>
      </c>
      <c r="M30" s="1544">
        <f t="shared" si="2"/>
        <v>0.96528090124314958</v>
      </c>
      <c r="N30" s="1538" t="s">
        <v>1232</v>
      </c>
      <c r="O30" s="1539">
        <f>SUM(O28:O29)</f>
        <v>0</v>
      </c>
      <c r="P30" s="1539">
        <f>SUM(P28:P29)</f>
        <v>0</v>
      </c>
      <c r="Q30" s="1539">
        <f>SUM(Q28:Q29)</f>
        <v>0</v>
      </c>
      <c r="R30" s="1544"/>
      <c r="S30" s="1539">
        <f>SUM(S28:S29)</f>
        <v>0</v>
      </c>
      <c r="T30" s="1539">
        <f>SUM(T28:T29)</f>
        <v>0</v>
      </c>
      <c r="U30" s="1539">
        <f>SUM(U28:U29)</f>
        <v>0</v>
      </c>
      <c r="V30" s="1544"/>
      <c r="W30" s="1539">
        <f>SUM(W28:W29)</f>
        <v>3716034</v>
      </c>
      <c r="X30" s="1539">
        <f>SUM(X28:X29)</f>
        <v>3968862</v>
      </c>
      <c r="Y30" s="1539">
        <f>SUM(Y28:Y29)</f>
        <v>3768050</v>
      </c>
      <c r="Z30" s="1544">
        <f t="shared" si="4"/>
        <v>0.94940312865501497</v>
      </c>
      <c r="AA30" s="1538" t="s">
        <v>1232</v>
      </c>
      <c r="AB30" s="1539">
        <f>SUM(AB28:AB29)</f>
        <v>0</v>
      </c>
      <c r="AC30" s="1539">
        <f>SUM(AC28:AC29)</f>
        <v>62369</v>
      </c>
      <c r="AD30" s="1539">
        <f>SUM(AD28:AD29)</f>
        <v>46428</v>
      </c>
      <c r="AE30" s="1544">
        <f t="shared" si="5"/>
        <v>0.74440827975436519</v>
      </c>
      <c r="AF30" s="1539">
        <f>SUM(AF28:AF29)</f>
        <v>0</v>
      </c>
      <c r="AG30" s="1539">
        <f>SUM(AG28:AG29)</f>
        <v>55401</v>
      </c>
      <c r="AH30" s="1539">
        <f>SUM(AH28:AH29)</f>
        <v>35523</v>
      </c>
      <c r="AI30" s="1544">
        <f>AH30/AG30</f>
        <v>0.6411978123138572</v>
      </c>
      <c r="AJ30" s="1539">
        <f>SUM(AJ28:AJ29)</f>
        <v>0</v>
      </c>
      <c r="AK30" s="1539">
        <f>SUM(AK28:AK29)</f>
        <v>0</v>
      </c>
      <c r="AL30" s="1539">
        <f>SUM(AL28:AL29)</f>
        <v>0</v>
      </c>
      <c r="AM30" s="1544"/>
      <c r="AN30" s="1538" t="s">
        <v>1232</v>
      </c>
      <c r="AO30" s="1539">
        <f>SUM(AO28:AO29)</f>
        <v>0</v>
      </c>
      <c r="AP30" s="1539">
        <f>SUM(AP28:AP29)</f>
        <v>117770</v>
      </c>
      <c r="AQ30" s="1539">
        <f>SUM(AQ28:AQ29)</f>
        <v>81951</v>
      </c>
      <c r="AR30" s="1544">
        <f t="shared" si="7"/>
        <v>0.69585633013500892</v>
      </c>
      <c r="AS30" s="1539">
        <f>SUM(AS28:AS29)</f>
        <v>3716034</v>
      </c>
      <c r="AT30" s="1539">
        <f>SUM(AT28:AT29)</f>
        <v>4086632</v>
      </c>
      <c r="AU30" s="1539">
        <f>SUM(AU28:AU29)</f>
        <v>3850001</v>
      </c>
      <c r="AV30" s="1544">
        <f t="shared" si="9"/>
        <v>0.94209632773393837</v>
      </c>
      <c r="AW30" s="1652"/>
      <c r="AX30" s="1652"/>
      <c r="AY30" s="1652"/>
      <c r="AZ30" s="1652"/>
      <c r="BA30" s="1652"/>
      <c r="BB30" s="1652"/>
      <c r="BC30" s="1652"/>
      <c r="BD30" s="1652"/>
      <c r="BE30" s="1652"/>
      <c r="BF30" s="1652"/>
      <c r="BG30" s="1652"/>
      <c r="BH30" s="1652"/>
      <c r="BI30" s="1652"/>
    </row>
    <row r="31" spans="1:61" s="1653" customFormat="1" ht="49.5" customHeight="1" x14ac:dyDescent="0.65">
      <c r="A31" s="1545" t="s">
        <v>1233</v>
      </c>
      <c r="B31" s="1546"/>
      <c r="C31" s="1546"/>
      <c r="D31" s="1546"/>
      <c r="E31" s="1546"/>
      <c r="F31" s="1546"/>
      <c r="G31" s="1546"/>
      <c r="H31" s="1546"/>
      <c r="I31" s="1546"/>
      <c r="J31" s="1546"/>
      <c r="K31" s="1546"/>
      <c r="L31" s="1546"/>
      <c r="M31" s="1546"/>
      <c r="N31" s="1545" t="s">
        <v>1233</v>
      </c>
      <c r="O31" s="1546"/>
      <c r="P31" s="1546"/>
      <c r="Q31" s="1546"/>
      <c r="R31" s="1546"/>
      <c r="S31" s="1546"/>
      <c r="T31" s="1546"/>
      <c r="U31" s="1546"/>
      <c r="V31" s="1546"/>
      <c r="W31" s="1546"/>
      <c r="X31" s="1546"/>
      <c r="Y31" s="1546"/>
      <c r="Z31" s="1546"/>
      <c r="AA31" s="1545" t="s">
        <v>1233</v>
      </c>
      <c r="AB31" s="1546"/>
      <c r="AC31" s="1546"/>
      <c r="AD31" s="1546"/>
      <c r="AE31" s="1546"/>
      <c r="AF31" s="1546"/>
      <c r="AG31" s="1546"/>
      <c r="AH31" s="1546"/>
      <c r="AI31" s="1546"/>
      <c r="AJ31" s="1546"/>
      <c r="AK31" s="1546"/>
      <c r="AL31" s="1546"/>
      <c r="AM31" s="1546"/>
      <c r="AN31" s="1545" t="s">
        <v>1233</v>
      </c>
      <c r="AO31" s="1546"/>
      <c r="AP31" s="1546"/>
      <c r="AQ31" s="1546"/>
      <c r="AR31" s="1546"/>
      <c r="AS31" s="1546"/>
      <c r="AT31" s="1546"/>
      <c r="AU31" s="1546"/>
      <c r="AV31" s="1546"/>
      <c r="AW31" s="1652"/>
      <c r="AX31" s="1652"/>
      <c r="AY31" s="1652"/>
      <c r="AZ31" s="1652"/>
      <c r="BA31" s="1652"/>
      <c r="BB31" s="1652"/>
      <c r="BC31" s="1652"/>
      <c r="BD31" s="1652"/>
      <c r="BE31" s="1652"/>
      <c r="BF31" s="1652"/>
      <c r="BG31" s="1652"/>
      <c r="BH31" s="1652"/>
      <c r="BI31" s="1652"/>
    </row>
    <row r="32" spans="1:61" s="1653" customFormat="1" ht="49.5" customHeight="1" x14ac:dyDescent="0.65">
      <c r="A32" s="1547" t="s">
        <v>1234</v>
      </c>
      <c r="B32" s="1546"/>
      <c r="C32" s="1546"/>
      <c r="D32" s="1546"/>
      <c r="E32" s="1546"/>
      <c r="F32" s="1546"/>
      <c r="G32" s="1546"/>
      <c r="H32" s="1546"/>
      <c r="I32" s="1546"/>
      <c r="J32" s="1546"/>
      <c r="K32" s="1546"/>
      <c r="L32" s="1546"/>
      <c r="M32" s="1546"/>
      <c r="N32" s="1547" t="s">
        <v>1234</v>
      </c>
      <c r="O32" s="1546"/>
      <c r="P32" s="1546"/>
      <c r="Q32" s="1546"/>
      <c r="R32" s="1546"/>
      <c r="S32" s="1546"/>
      <c r="T32" s="1546"/>
      <c r="U32" s="1546"/>
      <c r="V32" s="1546"/>
      <c r="W32" s="1546"/>
      <c r="X32" s="1546"/>
      <c r="Y32" s="1546"/>
      <c r="Z32" s="1546"/>
      <c r="AA32" s="1547" t="s">
        <v>1234</v>
      </c>
      <c r="AB32" s="1546"/>
      <c r="AC32" s="1546"/>
      <c r="AD32" s="1546"/>
      <c r="AE32" s="1546"/>
      <c r="AF32" s="1546"/>
      <c r="AG32" s="1546"/>
      <c r="AH32" s="1546"/>
      <c r="AI32" s="1546"/>
      <c r="AJ32" s="1546"/>
      <c r="AK32" s="1546"/>
      <c r="AL32" s="1546"/>
      <c r="AM32" s="1546"/>
      <c r="AN32" s="1547" t="s">
        <v>1234</v>
      </c>
      <c r="AO32" s="1546"/>
      <c r="AP32" s="1546"/>
      <c r="AQ32" s="1546"/>
      <c r="AR32" s="1546"/>
      <c r="AS32" s="1546"/>
      <c r="AT32" s="1546"/>
      <c r="AU32" s="1546"/>
      <c r="AV32" s="1546"/>
      <c r="AW32" s="1652"/>
      <c r="AX32" s="1652"/>
      <c r="AY32" s="1652"/>
      <c r="AZ32" s="1652"/>
      <c r="BA32" s="1652"/>
      <c r="BB32" s="1652"/>
      <c r="BC32" s="1652"/>
      <c r="BD32" s="1652"/>
      <c r="BE32" s="1652"/>
      <c r="BF32" s="1652"/>
      <c r="BG32" s="1652"/>
      <c r="BH32" s="1652"/>
      <c r="BI32" s="1652"/>
    </row>
    <row r="33" spans="1:61" s="1653" customFormat="1" ht="49.5" customHeight="1" x14ac:dyDescent="0.65">
      <c r="A33" s="1548" t="s">
        <v>233</v>
      </c>
      <c r="B33" s="1529">
        <f>[4]int.kiadások2022!B32</f>
        <v>93799</v>
      </c>
      <c r="C33" s="1529">
        <f>'[5]int.kiadások RM III'!D33</f>
        <v>114091</v>
      </c>
      <c r="D33" s="1529">
        <v>112566</v>
      </c>
      <c r="E33" s="1530">
        <f>D33/C33</f>
        <v>0.98663347678607427</v>
      </c>
      <c r="F33" s="1529">
        <f>[4]int.kiadások2022!C32</f>
        <v>12031</v>
      </c>
      <c r="G33" s="1529">
        <f>'[5]int.kiadások RM III'!G33</f>
        <v>14886</v>
      </c>
      <c r="H33" s="1529">
        <v>13904</v>
      </c>
      <c r="I33" s="1530">
        <f>H33/G33</f>
        <v>0.9340319763536209</v>
      </c>
      <c r="J33" s="1529">
        <f>[4]int.kiadások2022!D32</f>
        <v>26165</v>
      </c>
      <c r="K33" s="1529">
        <f>'[5]int.kiadások RM III'!J33</f>
        <v>60730</v>
      </c>
      <c r="L33" s="1529">
        <v>42017</v>
      </c>
      <c r="M33" s="1530">
        <f>L33/K33</f>
        <v>0.69186563477688123</v>
      </c>
      <c r="N33" s="1548" t="s">
        <v>233</v>
      </c>
      <c r="O33" s="1529">
        <f>[4]int.kiadások2022!E32</f>
        <v>0</v>
      </c>
      <c r="P33" s="1529">
        <f>'[5]int.kiadások RM III'!N33</f>
        <v>0</v>
      </c>
      <c r="Q33" s="1529"/>
      <c r="R33" s="1530"/>
      <c r="S33" s="1529">
        <f>[4]int.kiadások2022!F32</f>
        <v>0</v>
      </c>
      <c r="T33" s="1529">
        <f>'[5]int.kiadások RM III'!Q33</f>
        <v>4999</v>
      </c>
      <c r="U33" s="1529">
        <v>4999</v>
      </c>
      <c r="V33" s="1530">
        <f>U33/T33</f>
        <v>1</v>
      </c>
      <c r="W33" s="1531">
        <f t="shared" ref="W33:Y36" si="10">B33+F33+J33+O33+S33</f>
        <v>131995</v>
      </c>
      <c r="X33" s="1531">
        <f t="shared" si="10"/>
        <v>194706</v>
      </c>
      <c r="Y33" s="1531">
        <f t="shared" si="10"/>
        <v>173486</v>
      </c>
      <c r="Z33" s="1532">
        <f>Y33/X33</f>
        <v>0.89101517159204136</v>
      </c>
      <c r="AA33" s="1548" t="s">
        <v>233</v>
      </c>
      <c r="AB33" s="1529">
        <f>[4]int.kiadások2022!I32</f>
        <v>0</v>
      </c>
      <c r="AC33" s="1529">
        <f>'[5]int.kiadások RM III'!X33</f>
        <v>26738</v>
      </c>
      <c r="AD33" s="1529">
        <v>26708</v>
      </c>
      <c r="AE33" s="1530">
        <f>AD33/AC33</f>
        <v>0.99887800134639837</v>
      </c>
      <c r="AF33" s="1529">
        <f>[4]int.kiadások2022!J32</f>
        <v>0</v>
      </c>
      <c r="AG33" s="1529">
        <f>'[5]int.kiadások RM III'!AA33</f>
        <v>0</v>
      </c>
      <c r="AH33" s="1529"/>
      <c r="AI33" s="1530"/>
      <c r="AJ33" s="1529">
        <f>[4]int.kiadások2022!K32</f>
        <v>0</v>
      </c>
      <c r="AK33" s="1529">
        <f>'[5]int.kiadások RM III'!AD33</f>
        <v>0</v>
      </c>
      <c r="AL33" s="1529"/>
      <c r="AM33" s="1530"/>
      <c r="AN33" s="1548" t="s">
        <v>233</v>
      </c>
      <c r="AO33" s="1531">
        <f t="shared" ref="AO33:AQ36" si="11">AB33+AF33+AJ33</f>
        <v>0</v>
      </c>
      <c r="AP33" s="1531">
        <f t="shared" si="11"/>
        <v>26738</v>
      </c>
      <c r="AQ33" s="1531">
        <f t="shared" si="11"/>
        <v>26708</v>
      </c>
      <c r="AR33" s="1532">
        <f>AQ33/AP33</f>
        <v>0.99887800134639837</v>
      </c>
      <c r="AS33" s="1531">
        <f t="shared" ref="AS33:AU36" si="12">W33+AO33</f>
        <v>131995</v>
      </c>
      <c r="AT33" s="1531">
        <f t="shared" si="12"/>
        <v>221444</v>
      </c>
      <c r="AU33" s="1531">
        <f>Y33+AQ33</f>
        <v>200194</v>
      </c>
      <c r="AV33" s="1532">
        <f>AU33/AT33</f>
        <v>0.90403894438323007</v>
      </c>
      <c r="AW33" s="1652"/>
      <c r="AX33" s="1652"/>
      <c r="AY33" s="1652"/>
      <c r="AZ33" s="1652"/>
      <c r="BA33" s="1652"/>
      <c r="BB33" s="1652"/>
      <c r="BC33" s="1652"/>
      <c r="BD33" s="1652"/>
      <c r="BE33" s="1652"/>
      <c r="BF33" s="1652"/>
      <c r="BG33" s="1652"/>
      <c r="BH33" s="1652"/>
      <c r="BI33" s="1652"/>
    </row>
    <row r="34" spans="1:61" s="1653" customFormat="1" ht="49.5" customHeight="1" x14ac:dyDescent="0.65">
      <c r="A34" s="1549" t="s">
        <v>1235</v>
      </c>
      <c r="B34" s="1550">
        <f>[4]int.kiadások2022!B33</f>
        <v>357129</v>
      </c>
      <c r="C34" s="1529">
        <f>'[5]int.kiadások RM III'!D34</f>
        <v>506696</v>
      </c>
      <c r="D34" s="1550">
        <v>448822</v>
      </c>
      <c r="E34" s="1530">
        <f>D34/C34</f>
        <v>0.88578161264347854</v>
      </c>
      <c r="F34" s="1550">
        <f>[4]int.kiadások2022!C33</f>
        <v>47895</v>
      </c>
      <c r="G34" s="1529">
        <f>'[5]int.kiadások RM III'!G34</f>
        <v>62403</v>
      </c>
      <c r="H34" s="1529">
        <v>61438</v>
      </c>
      <c r="I34" s="1530">
        <f>H34/G34</f>
        <v>0.98453599987180107</v>
      </c>
      <c r="J34" s="1550">
        <f>[4]int.kiadások2022!D33</f>
        <v>59026</v>
      </c>
      <c r="K34" s="1529">
        <f>'[5]int.kiadások RM III'!J34</f>
        <v>318680</v>
      </c>
      <c r="L34" s="1550">
        <v>157718</v>
      </c>
      <c r="M34" s="1530">
        <f>L34/K34</f>
        <v>0.49491025480105433</v>
      </c>
      <c r="N34" s="1549" t="s">
        <v>1235</v>
      </c>
      <c r="O34" s="1550">
        <f>[4]int.kiadások2022!E33</f>
        <v>0</v>
      </c>
      <c r="P34" s="1529">
        <f>'[5]int.kiadások RM III'!N34</f>
        <v>0</v>
      </c>
      <c r="Q34" s="1550"/>
      <c r="R34" s="1530"/>
      <c r="S34" s="1550">
        <f>[4]int.kiadások2022!F33</f>
        <v>0</v>
      </c>
      <c r="T34" s="1550">
        <f>'[5]int.kiadások RM III'!Q34</f>
        <v>0</v>
      </c>
      <c r="U34" s="1550"/>
      <c r="V34" s="1530"/>
      <c r="W34" s="1531">
        <f t="shared" si="10"/>
        <v>464050</v>
      </c>
      <c r="X34" s="1531">
        <f t="shared" si="10"/>
        <v>887779</v>
      </c>
      <c r="Y34" s="1531">
        <f t="shared" si="10"/>
        <v>667978</v>
      </c>
      <c r="Z34" s="1532">
        <f>Y34/X34</f>
        <v>0.75241473384704982</v>
      </c>
      <c r="AA34" s="1549" t="s">
        <v>1235</v>
      </c>
      <c r="AB34" s="1550">
        <f>[4]int.kiadások2022!I33</f>
        <v>0</v>
      </c>
      <c r="AC34" s="1529">
        <f>'[5]int.kiadások RM III'!X34</f>
        <v>47793</v>
      </c>
      <c r="AD34" s="1550">
        <v>1969</v>
      </c>
      <c r="AE34" s="1530">
        <f>AD34/AC34</f>
        <v>4.1198501872659173E-2</v>
      </c>
      <c r="AF34" s="1550">
        <f>[4]int.kiadások2022!J33</f>
        <v>0</v>
      </c>
      <c r="AG34" s="1529">
        <f>'[5]int.kiadások RM III'!AA34</f>
        <v>0</v>
      </c>
      <c r="AH34" s="1550"/>
      <c r="AI34" s="1530"/>
      <c r="AJ34" s="1550">
        <f>[4]int.kiadások2022!K33</f>
        <v>0</v>
      </c>
      <c r="AK34" s="1550">
        <f>'[5]int.kiadások RM III'!AD34</f>
        <v>0</v>
      </c>
      <c r="AL34" s="1550"/>
      <c r="AM34" s="1530"/>
      <c r="AN34" s="1549" t="s">
        <v>1235</v>
      </c>
      <c r="AO34" s="1531">
        <f t="shared" si="11"/>
        <v>0</v>
      </c>
      <c r="AP34" s="1531">
        <f t="shared" si="11"/>
        <v>47793</v>
      </c>
      <c r="AQ34" s="1531">
        <f t="shared" si="11"/>
        <v>1969</v>
      </c>
      <c r="AR34" s="1532">
        <f>AQ34/AP34</f>
        <v>4.1198501872659173E-2</v>
      </c>
      <c r="AS34" s="1531">
        <f t="shared" si="12"/>
        <v>464050</v>
      </c>
      <c r="AT34" s="1531">
        <f t="shared" si="12"/>
        <v>935572</v>
      </c>
      <c r="AU34" s="1531">
        <f t="shared" si="12"/>
        <v>669947</v>
      </c>
      <c r="AV34" s="1532">
        <f>AU34/AT34</f>
        <v>0.71608278144279647</v>
      </c>
      <c r="AW34" s="1652"/>
      <c r="AX34" s="1652"/>
      <c r="AY34" s="1652"/>
      <c r="AZ34" s="1652"/>
      <c r="BA34" s="1652"/>
      <c r="BB34" s="1652"/>
      <c r="BC34" s="1652"/>
      <c r="BD34" s="1652"/>
      <c r="BE34" s="1652"/>
      <c r="BF34" s="1652"/>
      <c r="BG34" s="1652"/>
      <c r="BH34" s="1652"/>
      <c r="BI34" s="1652"/>
    </row>
    <row r="35" spans="1:61" s="1653" customFormat="1" ht="49.5" customHeight="1" x14ac:dyDescent="0.65">
      <c r="A35" s="1549" t="s">
        <v>1236</v>
      </c>
      <c r="B35" s="1550">
        <f>[4]int.kiadások2022!B34</f>
        <v>183121</v>
      </c>
      <c r="C35" s="1529">
        <f>'[5]int.kiadások RM III'!D35</f>
        <v>235158</v>
      </c>
      <c r="D35" s="1550">
        <v>217584</v>
      </c>
      <c r="E35" s="1530">
        <f>D35/C35</f>
        <v>0.92526726711402552</v>
      </c>
      <c r="F35" s="1550">
        <f>[4]int.kiadások2022!C34</f>
        <v>23869</v>
      </c>
      <c r="G35" s="1529">
        <f>'[5]int.kiadások RM III'!G35</f>
        <v>30631</v>
      </c>
      <c r="H35" s="1529">
        <v>30508</v>
      </c>
      <c r="I35" s="1530">
        <f>H35/G35</f>
        <v>0.99598446018739184</v>
      </c>
      <c r="J35" s="1550">
        <f>[4]int.kiadások2022!D34</f>
        <v>55273</v>
      </c>
      <c r="K35" s="1529">
        <f>'[5]int.kiadások RM III'!J35</f>
        <v>255418</v>
      </c>
      <c r="L35" s="1550">
        <v>207374</v>
      </c>
      <c r="M35" s="1530">
        <f>L35/K35</f>
        <v>0.81190049252597707</v>
      </c>
      <c r="N35" s="1549" t="s">
        <v>1236</v>
      </c>
      <c r="O35" s="1550">
        <f>[4]int.kiadások2022!E34</f>
        <v>0</v>
      </c>
      <c r="P35" s="1529">
        <f>'[5]int.kiadások RM III'!N35</f>
        <v>0</v>
      </c>
      <c r="Q35" s="1550"/>
      <c r="R35" s="1530"/>
      <c r="S35" s="1550">
        <f>[4]int.kiadások2022!F34</f>
        <v>0</v>
      </c>
      <c r="T35" s="1550">
        <f>'[5]int.kiadások RM III'!Q35</f>
        <v>0</v>
      </c>
      <c r="U35" s="1550"/>
      <c r="V35" s="1530"/>
      <c r="W35" s="1531">
        <f t="shared" si="10"/>
        <v>262263</v>
      </c>
      <c r="X35" s="1531">
        <f t="shared" si="10"/>
        <v>521207</v>
      </c>
      <c r="Y35" s="1531">
        <f t="shared" si="10"/>
        <v>455466</v>
      </c>
      <c r="Z35" s="1532">
        <f>Y35/X35</f>
        <v>0.87386777230543722</v>
      </c>
      <c r="AA35" s="1549" t="s">
        <v>1236</v>
      </c>
      <c r="AB35" s="1550">
        <f>[4]int.kiadások2022!I34</f>
        <v>0</v>
      </c>
      <c r="AC35" s="1529">
        <f>'[5]int.kiadások RM III'!X35</f>
        <v>19690</v>
      </c>
      <c r="AD35" s="1550">
        <v>16847</v>
      </c>
      <c r="AE35" s="1530">
        <f>AD35/AC35</f>
        <v>0.85561198577958353</v>
      </c>
      <c r="AF35" s="1550">
        <f>[4]int.kiadások2022!J34</f>
        <v>0</v>
      </c>
      <c r="AG35" s="1529">
        <f>'[5]int.kiadások RM III'!AA35</f>
        <v>0</v>
      </c>
      <c r="AH35" s="1550"/>
      <c r="AI35" s="1530"/>
      <c r="AJ35" s="1550">
        <f>[4]int.kiadások2022!K34</f>
        <v>0</v>
      </c>
      <c r="AK35" s="1550">
        <f>'[5]int.kiadások RM III'!AD35</f>
        <v>0</v>
      </c>
      <c r="AL35" s="1550"/>
      <c r="AM35" s="1530"/>
      <c r="AN35" s="1549" t="s">
        <v>1236</v>
      </c>
      <c r="AO35" s="1531">
        <f t="shared" si="11"/>
        <v>0</v>
      </c>
      <c r="AP35" s="1531">
        <f t="shared" si="11"/>
        <v>19690</v>
      </c>
      <c r="AQ35" s="1531">
        <f t="shared" si="11"/>
        <v>16847</v>
      </c>
      <c r="AR35" s="1532">
        <f>AQ35/AP35</f>
        <v>0.85561198577958353</v>
      </c>
      <c r="AS35" s="1531">
        <f t="shared" si="12"/>
        <v>262263</v>
      </c>
      <c r="AT35" s="1531">
        <f t="shared" si="12"/>
        <v>540897</v>
      </c>
      <c r="AU35" s="1531">
        <f>Y35+AQ35</f>
        <v>472313</v>
      </c>
      <c r="AV35" s="1532">
        <f>AU35/AT35</f>
        <v>0.87320321613911711</v>
      </c>
      <c r="AW35" s="1652"/>
      <c r="AX35" s="1652"/>
      <c r="AY35" s="1652"/>
      <c r="AZ35" s="1652"/>
      <c r="BA35" s="1652"/>
      <c r="BB35" s="1652"/>
      <c r="BC35" s="1652"/>
      <c r="BD35" s="1652"/>
      <c r="BE35" s="1652"/>
      <c r="BF35" s="1652"/>
      <c r="BG35" s="1652"/>
      <c r="BH35" s="1652"/>
      <c r="BI35" s="1652"/>
    </row>
    <row r="36" spans="1:61" s="1653" customFormat="1" ht="49.5" customHeight="1" thickBot="1" x14ac:dyDescent="0.7">
      <c r="A36" s="1551" t="s">
        <v>1237</v>
      </c>
      <c r="B36" s="1550">
        <f>[4]int.kiadások2022!B35</f>
        <v>393571</v>
      </c>
      <c r="C36" s="1529">
        <f>'[5]int.kiadások RM III'!D36</f>
        <v>457963</v>
      </c>
      <c r="D36" s="1550">
        <v>457399</v>
      </c>
      <c r="E36" s="1535">
        <f>D36/C36</f>
        <v>0.99876845946069881</v>
      </c>
      <c r="F36" s="1550">
        <f>[4]int.kiadások2022!C35</f>
        <v>51193</v>
      </c>
      <c r="G36" s="1529">
        <f>'[5]int.kiadások RM III'!G36</f>
        <v>63186</v>
      </c>
      <c r="H36" s="1550">
        <v>63170</v>
      </c>
      <c r="I36" s="1535">
        <f>H36/G36</f>
        <v>0.99974677934985601</v>
      </c>
      <c r="J36" s="1550">
        <f>[4]int.kiadások2022!D35</f>
        <v>138991</v>
      </c>
      <c r="K36" s="1529">
        <f>'[5]int.kiadások RM III'!J36</f>
        <v>335787</v>
      </c>
      <c r="L36" s="1550">
        <v>242384</v>
      </c>
      <c r="M36" s="1535">
        <f>L36/K36</f>
        <v>0.72183854645951151</v>
      </c>
      <c r="N36" s="1551" t="s">
        <v>1237</v>
      </c>
      <c r="O36" s="1550">
        <f>[4]int.kiadások2022!E35</f>
        <v>0</v>
      </c>
      <c r="P36" s="1529">
        <f>'[5]int.kiadások RM III'!N36</f>
        <v>0</v>
      </c>
      <c r="Q36" s="1550"/>
      <c r="R36" s="1535"/>
      <c r="S36" s="1550">
        <f>[4]int.kiadások2022!F35</f>
        <v>0</v>
      </c>
      <c r="T36" s="1550">
        <f>'[5]int.kiadások RM III'!Q36</f>
        <v>0</v>
      </c>
      <c r="U36" s="1550"/>
      <c r="V36" s="1535"/>
      <c r="W36" s="1531">
        <f t="shared" si="10"/>
        <v>583755</v>
      </c>
      <c r="X36" s="1531">
        <f t="shared" si="10"/>
        <v>856936</v>
      </c>
      <c r="Y36" s="1531">
        <f t="shared" si="10"/>
        <v>762953</v>
      </c>
      <c r="Z36" s="1536">
        <f>Y36/X36</f>
        <v>0.89032669884332083</v>
      </c>
      <c r="AA36" s="1551" t="s">
        <v>1237</v>
      </c>
      <c r="AB36" s="1550">
        <f>[4]int.kiadások2022!I35</f>
        <v>0</v>
      </c>
      <c r="AC36" s="1529">
        <f>'[5]int.kiadások RM III'!X36</f>
        <v>23492</v>
      </c>
      <c r="AD36" s="1550">
        <v>20298</v>
      </c>
      <c r="AE36" s="1535">
        <f>AD36/AC36</f>
        <v>0.86403882172654523</v>
      </c>
      <c r="AF36" s="1550">
        <f>[4]int.kiadások2022!J35</f>
        <v>0</v>
      </c>
      <c r="AG36" s="1529">
        <f>'[5]int.kiadások RM III'!AA36</f>
        <v>0</v>
      </c>
      <c r="AH36" s="1550"/>
      <c r="AI36" s="1535"/>
      <c r="AJ36" s="1550">
        <f>[4]int.kiadások2022!K35</f>
        <v>0</v>
      </c>
      <c r="AK36" s="1550">
        <f>'[5]int.kiadások RM III'!AD36</f>
        <v>0</v>
      </c>
      <c r="AL36" s="1550"/>
      <c r="AM36" s="1535"/>
      <c r="AN36" s="1551" t="s">
        <v>1237</v>
      </c>
      <c r="AO36" s="1531">
        <f t="shared" si="11"/>
        <v>0</v>
      </c>
      <c r="AP36" s="1531">
        <f t="shared" si="11"/>
        <v>23492</v>
      </c>
      <c r="AQ36" s="1531">
        <f t="shared" si="11"/>
        <v>20298</v>
      </c>
      <c r="AR36" s="1536">
        <f>AQ36/AP36</f>
        <v>0.86403882172654523</v>
      </c>
      <c r="AS36" s="1531">
        <f t="shared" si="12"/>
        <v>583755</v>
      </c>
      <c r="AT36" s="1531">
        <f t="shared" si="12"/>
        <v>880428</v>
      </c>
      <c r="AU36" s="1531">
        <f t="shared" si="12"/>
        <v>783251</v>
      </c>
      <c r="AV36" s="1536">
        <f>AU36/AT36</f>
        <v>0.88962527316259821</v>
      </c>
      <c r="AW36" s="1652"/>
      <c r="AX36" s="1652"/>
      <c r="AY36" s="1652"/>
      <c r="AZ36" s="1652"/>
      <c r="BA36" s="1652"/>
      <c r="BB36" s="1652"/>
      <c r="BC36" s="1652"/>
      <c r="BD36" s="1652"/>
      <c r="BE36" s="1652"/>
      <c r="BF36" s="1652"/>
      <c r="BG36" s="1652"/>
      <c r="BH36" s="1652"/>
      <c r="BI36" s="1652"/>
    </row>
    <row r="37" spans="1:61" s="1653" customFormat="1" ht="49.5" customHeight="1" thickBot="1" x14ac:dyDescent="0.7">
      <c r="A37" s="1552" t="s">
        <v>1238</v>
      </c>
      <c r="B37" s="1539">
        <f>SUM(B33:B36)</f>
        <v>1027620</v>
      </c>
      <c r="C37" s="1539">
        <f>SUM(C33:C36)</f>
        <v>1313908</v>
      </c>
      <c r="D37" s="1539">
        <f>SUM(D33:D36)</f>
        <v>1236371</v>
      </c>
      <c r="E37" s="1540">
        <f>D37/C37</f>
        <v>0.94098749684148353</v>
      </c>
      <c r="F37" s="1539">
        <f>SUM(F33:F36)</f>
        <v>134988</v>
      </c>
      <c r="G37" s="1539">
        <f>SUM(G33:G36)</f>
        <v>171106</v>
      </c>
      <c r="H37" s="1539">
        <f>SUM(H33:H36)</f>
        <v>169020</v>
      </c>
      <c r="I37" s="1540">
        <f>H37/G37</f>
        <v>0.98780872675417575</v>
      </c>
      <c r="J37" s="1539">
        <f>SUM(J33:J36)</f>
        <v>279455</v>
      </c>
      <c r="K37" s="1539">
        <f>SUM(K33:K36)</f>
        <v>970615</v>
      </c>
      <c r="L37" s="1539">
        <f>SUM(L33:L36)</f>
        <v>649493</v>
      </c>
      <c r="M37" s="1540">
        <f>L37/K37</f>
        <v>0.66915615357273484</v>
      </c>
      <c r="N37" s="1552" t="s">
        <v>1238</v>
      </c>
      <c r="O37" s="1539">
        <f>SUM(O33:O36)</f>
        <v>0</v>
      </c>
      <c r="P37" s="1539">
        <f>SUM(P33:P36)</f>
        <v>0</v>
      </c>
      <c r="Q37" s="1539">
        <f>SUM(Q33:Q36)</f>
        <v>0</v>
      </c>
      <c r="R37" s="1540"/>
      <c r="S37" s="1539">
        <f>SUM(S33:S36)</f>
        <v>0</v>
      </c>
      <c r="T37" s="1539">
        <f>SUM(T33:T36)</f>
        <v>4999</v>
      </c>
      <c r="U37" s="1539">
        <f>SUM(U33:U36)</f>
        <v>4999</v>
      </c>
      <c r="V37" s="1540">
        <f>U37/T37</f>
        <v>1</v>
      </c>
      <c r="W37" s="1539">
        <f>SUM(W33:W36)</f>
        <v>1442063</v>
      </c>
      <c r="X37" s="1539">
        <f>SUM(X33:X36)</f>
        <v>2460628</v>
      </c>
      <c r="Y37" s="1539">
        <f>SUM(Y33:Y36)</f>
        <v>2059883</v>
      </c>
      <c r="Z37" s="1540">
        <f>Y37/X37</f>
        <v>0.83713710483665149</v>
      </c>
      <c r="AA37" s="1552" t="s">
        <v>1238</v>
      </c>
      <c r="AB37" s="1539">
        <f>SUM(AB33:AB36)</f>
        <v>0</v>
      </c>
      <c r="AC37" s="1539">
        <f>SUM(AC33:AC36)</f>
        <v>117713</v>
      </c>
      <c r="AD37" s="1539">
        <f>SUM(AD33:AD36)</f>
        <v>65822</v>
      </c>
      <c r="AE37" s="1540">
        <f>AD37/AC37</f>
        <v>0.5591735832066127</v>
      </c>
      <c r="AF37" s="1539">
        <f>SUM(AF33:AF36)</f>
        <v>0</v>
      </c>
      <c r="AG37" s="1539">
        <f>SUM(AG33:AG36)</f>
        <v>0</v>
      </c>
      <c r="AH37" s="1539">
        <f>SUM(AH33:AH36)</f>
        <v>0</v>
      </c>
      <c r="AI37" s="1540"/>
      <c r="AJ37" s="1539">
        <f>SUM(AJ33:AJ36)</f>
        <v>0</v>
      </c>
      <c r="AK37" s="1539">
        <f>SUM(AK33:AK36)</f>
        <v>0</v>
      </c>
      <c r="AL37" s="1539">
        <f>SUM(AL33:AL36)</f>
        <v>0</v>
      </c>
      <c r="AM37" s="1540"/>
      <c r="AN37" s="1552" t="s">
        <v>1238</v>
      </c>
      <c r="AO37" s="1539">
        <f>SUM(AO33:AO36)</f>
        <v>0</v>
      </c>
      <c r="AP37" s="1539">
        <f>SUM(AP33:AP36)</f>
        <v>117713</v>
      </c>
      <c r="AQ37" s="1539">
        <f>SUM(AQ33:AQ36)</f>
        <v>65822</v>
      </c>
      <c r="AR37" s="1540">
        <f>AQ37/AP37</f>
        <v>0.5591735832066127</v>
      </c>
      <c r="AS37" s="1539">
        <f>SUM(AS33:AS36)</f>
        <v>1442063</v>
      </c>
      <c r="AT37" s="1539">
        <f>SUM(AT33:AT36)</f>
        <v>2578341</v>
      </c>
      <c r="AU37" s="1539">
        <f>SUM(AU33:AU36)</f>
        <v>2125705</v>
      </c>
      <c r="AV37" s="1540">
        <f>AU37/AT37</f>
        <v>0.82444680513555035</v>
      </c>
      <c r="AW37" s="1652"/>
      <c r="AX37" s="1652"/>
      <c r="AY37" s="1652"/>
      <c r="AZ37" s="1652"/>
      <c r="BA37" s="1652"/>
      <c r="BB37" s="1652"/>
      <c r="BC37" s="1652"/>
      <c r="BD37" s="1652"/>
      <c r="BE37" s="1652"/>
      <c r="BF37" s="1652"/>
      <c r="BG37" s="1652"/>
      <c r="BH37" s="1652"/>
      <c r="BI37" s="1652"/>
    </row>
    <row r="38" spans="1:61" s="1653" customFormat="1" ht="49.5" customHeight="1" x14ac:dyDescent="0.65">
      <c r="A38" s="1553" t="s">
        <v>1239</v>
      </c>
      <c r="B38" s="1554"/>
      <c r="C38" s="1554"/>
      <c r="D38" s="1554"/>
      <c r="E38" s="1554"/>
      <c r="F38" s="1554"/>
      <c r="G38" s="1554"/>
      <c r="H38" s="1554"/>
      <c r="I38" s="1554"/>
      <c r="J38" s="1554"/>
      <c r="K38" s="1554"/>
      <c r="L38" s="1554"/>
      <c r="M38" s="1554"/>
      <c r="N38" s="1553" t="s">
        <v>1239</v>
      </c>
      <c r="O38" s="1554"/>
      <c r="P38" s="1554"/>
      <c r="Q38" s="1554"/>
      <c r="R38" s="1554"/>
      <c r="S38" s="1554"/>
      <c r="T38" s="1554"/>
      <c r="U38" s="1554"/>
      <c r="V38" s="1554"/>
      <c r="W38" s="1554"/>
      <c r="X38" s="1554"/>
      <c r="Y38" s="1554"/>
      <c r="Z38" s="1554"/>
      <c r="AA38" s="1553" t="s">
        <v>1239</v>
      </c>
      <c r="AB38" s="1554"/>
      <c r="AC38" s="1554"/>
      <c r="AD38" s="1554"/>
      <c r="AE38" s="1554"/>
      <c r="AF38" s="1554"/>
      <c r="AG38" s="1554"/>
      <c r="AH38" s="1554"/>
      <c r="AI38" s="1554"/>
      <c r="AJ38" s="1554"/>
      <c r="AK38" s="1554"/>
      <c r="AL38" s="1554"/>
      <c r="AM38" s="1554"/>
      <c r="AN38" s="1553" t="s">
        <v>1239</v>
      </c>
      <c r="AO38" s="1554"/>
      <c r="AP38" s="1554"/>
      <c r="AQ38" s="1554"/>
      <c r="AR38" s="1554"/>
      <c r="AS38" s="1554"/>
      <c r="AT38" s="1554"/>
      <c r="AU38" s="1554"/>
      <c r="AV38" s="1554"/>
      <c r="AW38" s="1652"/>
      <c r="AX38" s="1652"/>
      <c r="AY38" s="1652"/>
      <c r="AZ38" s="1652"/>
      <c r="BA38" s="1652"/>
      <c r="BB38" s="1652"/>
      <c r="BC38" s="1652"/>
      <c r="BD38" s="1652"/>
      <c r="BE38" s="1652"/>
      <c r="BF38" s="1652"/>
      <c r="BG38" s="1652"/>
      <c r="BH38" s="1652"/>
      <c r="BI38" s="1652"/>
    </row>
    <row r="39" spans="1:61" s="1651" customFormat="1" ht="99" customHeight="1" thickBot="1" x14ac:dyDescent="0.7">
      <c r="A39" s="1548" t="s">
        <v>1240</v>
      </c>
      <c r="B39" s="1529">
        <f>[4]int.kiadások2022!B38</f>
        <v>632951</v>
      </c>
      <c r="C39" s="1529">
        <f>'[5]int.kiadások RM III'!D39</f>
        <v>814438</v>
      </c>
      <c r="D39" s="1529">
        <v>793183</v>
      </c>
      <c r="E39" s="1555">
        <f>D39/C39</f>
        <v>0.97390224915831536</v>
      </c>
      <c r="F39" s="1529">
        <f>[4]int.kiadások2022!C38</f>
        <v>101478</v>
      </c>
      <c r="G39" s="1529">
        <f>'[5]int.kiadások RM III'!G39</f>
        <v>125300</v>
      </c>
      <c r="H39" s="1529">
        <v>118216</v>
      </c>
      <c r="I39" s="1555">
        <f>H39/G39</f>
        <v>0.94346368715083795</v>
      </c>
      <c r="J39" s="1529">
        <f>[4]int.kiadások2022!D38</f>
        <v>272622</v>
      </c>
      <c r="K39" s="1529">
        <f>'[5]int.kiadások RM III'!J39</f>
        <v>375048</v>
      </c>
      <c r="L39" s="1529">
        <v>370209</v>
      </c>
      <c r="M39" s="1555">
        <f>L39/K39</f>
        <v>0.98709765150060791</v>
      </c>
      <c r="N39" s="1548" t="s">
        <v>1240</v>
      </c>
      <c r="O39" s="1529">
        <f>[4]int.kiadások2022!E38</f>
        <v>0</v>
      </c>
      <c r="P39" s="1529">
        <f>'[5]int.kiadások RM III'!N39</f>
        <v>0</v>
      </c>
      <c r="Q39" s="1529"/>
      <c r="R39" s="1555"/>
      <c r="S39" s="1529">
        <f>[4]int.kiadások2022!F38</f>
        <v>0</v>
      </c>
      <c r="T39" s="1529">
        <f>'[5]int.kiadások RM III'!Q39</f>
        <v>577</v>
      </c>
      <c r="U39" s="1529">
        <v>577</v>
      </c>
      <c r="V39" s="1555">
        <f>U39/T39</f>
        <v>1</v>
      </c>
      <c r="W39" s="1531">
        <f>B39+F39+J39+O39+S39</f>
        <v>1007051</v>
      </c>
      <c r="X39" s="1531">
        <f>C39+G39+K39+P39+T39</f>
        <v>1315363</v>
      </c>
      <c r="Y39" s="1531">
        <f>D39+H39+L39+Q39+U39</f>
        <v>1282185</v>
      </c>
      <c r="Z39" s="1544">
        <f>Y39/X39</f>
        <v>0.97477654457362717</v>
      </c>
      <c r="AA39" s="1548" t="s">
        <v>1240</v>
      </c>
      <c r="AB39" s="1529">
        <f>[4]int.kiadások2022!I38</f>
        <v>0</v>
      </c>
      <c r="AC39" s="1529">
        <f>'[5]int.kiadások RM III'!X39</f>
        <v>5678</v>
      </c>
      <c r="AD39" s="1529">
        <v>5473</v>
      </c>
      <c r="AE39" s="1555">
        <f>AD39/AC39</f>
        <v>0.96389573793589289</v>
      </c>
      <c r="AF39" s="1529">
        <f>[4]int.kiadások2022!J38</f>
        <v>0</v>
      </c>
      <c r="AG39" s="1529">
        <f>'[5]int.kiadások RM III'!AA39</f>
        <v>400</v>
      </c>
      <c r="AH39" s="1529">
        <v>400</v>
      </c>
      <c r="AI39" s="1555">
        <f>AH39/AG39</f>
        <v>1</v>
      </c>
      <c r="AJ39" s="1529">
        <f>[4]int.kiadások2022!K38</f>
        <v>0</v>
      </c>
      <c r="AK39" s="1529">
        <f>'[5]int.kiadások RM III'!AD39</f>
        <v>0</v>
      </c>
      <c r="AL39" s="1529"/>
      <c r="AM39" s="1555"/>
      <c r="AN39" s="1548" t="s">
        <v>1240</v>
      </c>
      <c r="AO39" s="1531">
        <f>AB39+AF39+AJ39</f>
        <v>0</v>
      </c>
      <c r="AP39" s="1531">
        <f>AC39+AG39+AK39</f>
        <v>6078</v>
      </c>
      <c r="AQ39" s="1531">
        <f>AD39+AH39+AL39</f>
        <v>5873</v>
      </c>
      <c r="AR39" s="1544">
        <f>AQ39/AP39</f>
        <v>0.96627179993418888</v>
      </c>
      <c r="AS39" s="1531">
        <f>W39+AO39</f>
        <v>1007051</v>
      </c>
      <c r="AT39" s="1531">
        <f>X39+AP39</f>
        <v>1321441</v>
      </c>
      <c r="AU39" s="1531">
        <f>Y39+AQ39</f>
        <v>1288058</v>
      </c>
      <c r="AV39" s="1544">
        <f>AU39/AT39</f>
        <v>0.97473742679393183</v>
      </c>
      <c r="AW39" s="1650"/>
      <c r="AX39" s="1650"/>
      <c r="AY39" s="1650"/>
      <c r="AZ39" s="1650"/>
      <c r="BA39" s="1650"/>
      <c r="BB39" s="1650"/>
      <c r="BC39" s="1650"/>
      <c r="BD39" s="1650"/>
      <c r="BE39" s="1650"/>
      <c r="BF39" s="1650"/>
      <c r="BG39" s="1650"/>
      <c r="BH39" s="1650"/>
      <c r="BI39" s="1650"/>
    </row>
    <row r="40" spans="1:61" s="1653" customFormat="1" ht="49.5" customHeight="1" x14ac:dyDescent="0.65">
      <c r="A40" s="1553" t="s">
        <v>1241</v>
      </c>
      <c r="B40" s="1554"/>
      <c r="C40" s="1554"/>
      <c r="D40" s="1554"/>
      <c r="E40" s="1536"/>
      <c r="F40" s="1554"/>
      <c r="G40" s="1554"/>
      <c r="H40" s="1554"/>
      <c r="I40" s="1536"/>
      <c r="J40" s="1554"/>
      <c r="K40" s="1554"/>
      <c r="L40" s="1554"/>
      <c r="M40" s="1536"/>
      <c r="N40" s="1553" t="s">
        <v>1241</v>
      </c>
      <c r="O40" s="1554"/>
      <c r="P40" s="1554"/>
      <c r="Q40" s="1554"/>
      <c r="R40" s="1536"/>
      <c r="S40" s="1554"/>
      <c r="T40" s="1554"/>
      <c r="U40" s="1554"/>
      <c r="V40" s="1536"/>
      <c r="W40" s="1554"/>
      <c r="X40" s="1554"/>
      <c r="Y40" s="1554"/>
      <c r="Z40" s="1536"/>
      <c r="AA40" s="1553" t="s">
        <v>1241</v>
      </c>
      <c r="AB40" s="1554"/>
      <c r="AC40" s="1554"/>
      <c r="AD40" s="1554"/>
      <c r="AE40" s="1536"/>
      <c r="AF40" s="1554"/>
      <c r="AG40" s="1554"/>
      <c r="AH40" s="1554"/>
      <c r="AI40" s="1536"/>
      <c r="AJ40" s="1554"/>
      <c r="AK40" s="1554"/>
      <c r="AL40" s="1554"/>
      <c r="AM40" s="1536"/>
      <c r="AN40" s="1553" t="s">
        <v>1241</v>
      </c>
      <c r="AO40" s="1554"/>
      <c r="AP40" s="1554"/>
      <c r="AQ40" s="1554"/>
      <c r="AR40" s="1536"/>
      <c r="AS40" s="1554"/>
      <c r="AT40" s="1554"/>
      <c r="AU40" s="1554"/>
      <c r="AV40" s="1536"/>
      <c r="AW40" s="1652"/>
      <c r="AX40" s="1652"/>
      <c r="AY40" s="1652"/>
      <c r="AZ40" s="1652"/>
      <c r="BA40" s="1652"/>
      <c r="BB40" s="1652"/>
      <c r="BC40" s="1652"/>
      <c r="BD40" s="1652"/>
      <c r="BE40" s="1652"/>
      <c r="BF40" s="1652"/>
      <c r="BG40" s="1652"/>
      <c r="BH40" s="1652"/>
      <c r="BI40" s="1652"/>
    </row>
    <row r="41" spans="1:61" s="1653" customFormat="1" ht="49.5" customHeight="1" thickBot="1" x14ac:dyDescent="0.7">
      <c r="A41" s="1557" t="s">
        <v>1242</v>
      </c>
      <c r="B41" s="1556">
        <f>[4]int.kiadások2022!B40</f>
        <v>725627</v>
      </c>
      <c r="C41" s="1529">
        <f>'[5]int.kiadások RM III'!D41</f>
        <v>793826</v>
      </c>
      <c r="D41" s="1529">
        <v>732949</v>
      </c>
      <c r="E41" s="1530">
        <f>D41/C41</f>
        <v>0.92331190966282284</v>
      </c>
      <c r="F41" s="1556">
        <f>[4]int.kiadások2022!C40</f>
        <v>103249</v>
      </c>
      <c r="G41" s="1529">
        <f>'[5]int.kiadások RM III'!G41</f>
        <v>116910</v>
      </c>
      <c r="H41" s="1556">
        <v>107673</v>
      </c>
      <c r="I41" s="1530">
        <f>H41/G41</f>
        <v>0.92099050551706441</v>
      </c>
      <c r="J41" s="1556">
        <f>[4]int.kiadások2022!D40</f>
        <v>306416</v>
      </c>
      <c r="K41" s="1529">
        <f>'[5]int.kiadások RM III'!J41</f>
        <v>379424</v>
      </c>
      <c r="L41" s="1556">
        <v>274230</v>
      </c>
      <c r="M41" s="1530">
        <f>L41/K41</f>
        <v>0.72275343678839499</v>
      </c>
      <c r="N41" s="1557" t="s">
        <v>1242</v>
      </c>
      <c r="O41" s="1556">
        <f>[4]int.kiadások2022!E40</f>
        <v>0</v>
      </c>
      <c r="P41" s="1529">
        <f>'[5]int.kiadások RM III'!N41</f>
        <v>0</v>
      </c>
      <c r="Q41" s="1556"/>
      <c r="R41" s="1530"/>
      <c r="S41" s="1556">
        <f>[4]int.kiadások2022!F40</f>
        <v>0</v>
      </c>
      <c r="T41" s="1556">
        <f>'[5]int.kiadások RM III'!Q41</f>
        <v>2272</v>
      </c>
      <c r="U41" s="1556">
        <v>2272</v>
      </c>
      <c r="V41" s="1530">
        <f>U41/T41</f>
        <v>1</v>
      </c>
      <c r="W41" s="1531">
        <f>B41+F41+J41+O41+S41</f>
        <v>1135292</v>
      </c>
      <c r="X41" s="1531">
        <f>C41+G41+K41+P41+T41</f>
        <v>1292432</v>
      </c>
      <c r="Y41" s="1531">
        <f>D41+H41+L41+Q41+U41</f>
        <v>1117124</v>
      </c>
      <c r="Z41" s="1532">
        <f>Y41/X41</f>
        <v>0.8643580474640058</v>
      </c>
      <c r="AA41" s="1557" t="s">
        <v>1242</v>
      </c>
      <c r="AB41" s="1556">
        <f>[4]int.kiadások2022!I40</f>
        <v>4433</v>
      </c>
      <c r="AC41" s="1529">
        <f>'[5]int.kiadások RM III'!X41</f>
        <v>18347</v>
      </c>
      <c r="AD41" s="1556">
        <v>11536</v>
      </c>
      <c r="AE41" s="1530">
        <f>AD41/AC41</f>
        <v>0.62876764593666534</v>
      </c>
      <c r="AF41" s="1556">
        <f>[4]int.kiadások2022!J40</f>
        <v>0</v>
      </c>
      <c r="AG41" s="1529">
        <f>'[5]int.kiadások RM III'!AA41</f>
        <v>23861</v>
      </c>
      <c r="AH41" s="1556">
        <v>23860</v>
      </c>
      <c r="AI41" s="1530">
        <f>AH41/AG41</f>
        <v>0.99995809060810525</v>
      </c>
      <c r="AJ41" s="1556">
        <f>[4]int.kiadások2022!K40</f>
        <v>0</v>
      </c>
      <c r="AK41" s="1556">
        <f>'[5]int.kiadások RM III'!AD41</f>
        <v>0</v>
      </c>
      <c r="AL41" s="1556"/>
      <c r="AM41" s="1530"/>
      <c r="AN41" s="1557" t="s">
        <v>1242</v>
      </c>
      <c r="AO41" s="1531">
        <f>AB41+AF41+AJ41</f>
        <v>4433</v>
      </c>
      <c r="AP41" s="1531">
        <f>AC41+AG41+AK41</f>
        <v>42208</v>
      </c>
      <c r="AQ41" s="1531">
        <f>AD41+AH41+AL41</f>
        <v>35396</v>
      </c>
      <c r="AR41" s="1532">
        <f>AQ41/AP41</f>
        <v>0.8386087945413192</v>
      </c>
      <c r="AS41" s="1531">
        <f>W41+AO41</f>
        <v>1139725</v>
      </c>
      <c r="AT41" s="1531">
        <f>X41+AP41</f>
        <v>1334640</v>
      </c>
      <c r="AU41" s="1531">
        <f>Y41+AQ41</f>
        <v>1152520</v>
      </c>
      <c r="AV41" s="1532">
        <f>AU41/AT41</f>
        <v>0.86354372714739558</v>
      </c>
      <c r="AW41" s="1652"/>
      <c r="AX41" s="1652"/>
      <c r="AY41" s="1652"/>
      <c r="AZ41" s="1652"/>
      <c r="BA41" s="1652"/>
      <c r="BB41" s="1652"/>
      <c r="BC41" s="1652"/>
      <c r="BD41" s="1652"/>
      <c r="BE41" s="1652"/>
      <c r="BF41" s="1652"/>
      <c r="BG41" s="1652"/>
      <c r="BH41" s="1652"/>
      <c r="BI41" s="1652"/>
    </row>
    <row r="42" spans="1:61" s="1653" customFormat="1" ht="49.5" customHeight="1" x14ac:dyDescent="0.65">
      <c r="A42" s="1553" t="s">
        <v>1243</v>
      </c>
      <c r="B42" s="1554"/>
      <c r="C42" s="1554"/>
      <c r="D42" s="1554"/>
      <c r="E42" s="1554"/>
      <c r="F42" s="1554"/>
      <c r="G42" s="1554"/>
      <c r="H42" s="1554"/>
      <c r="I42" s="1554"/>
      <c r="J42" s="1554"/>
      <c r="K42" s="1554"/>
      <c r="L42" s="1554"/>
      <c r="M42" s="1554"/>
      <c r="N42" s="1553" t="s">
        <v>1243</v>
      </c>
      <c r="O42" s="1554"/>
      <c r="P42" s="1554"/>
      <c r="Q42" s="1554"/>
      <c r="R42" s="1554"/>
      <c r="S42" s="1554"/>
      <c r="T42" s="1554"/>
      <c r="U42" s="1554"/>
      <c r="V42" s="1554"/>
      <c r="W42" s="1554"/>
      <c r="X42" s="1554"/>
      <c r="Y42" s="1554"/>
      <c r="Z42" s="1554"/>
      <c r="AA42" s="1553" t="s">
        <v>1243</v>
      </c>
      <c r="AB42" s="1554"/>
      <c r="AC42" s="1554"/>
      <c r="AD42" s="1554"/>
      <c r="AE42" s="1554"/>
      <c r="AF42" s="1554"/>
      <c r="AG42" s="1554"/>
      <c r="AH42" s="1554"/>
      <c r="AI42" s="1554"/>
      <c r="AJ42" s="1554"/>
      <c r="AK42" s="1554"/>
      <c r="AL42" s="1554"/>
      <c r="AM42" s="1554"/>
      <c r="AN42" s="1553" t="s">
        <v>1243</v>
      </c>
      <c r="AO42" s="1554"/>
      <c r="AP42" s="1554"/>
      <c r="AQ42" s="1554"/>
      <c r="AR42" s="1554"/>
      <c r="AS42" s="1554"/>
      <c r="AT42" s="1554"/>
      <c r="AU42" s="1554"/>
      <c r="AV42" s="1554"/>
      <c r="AW42" s="1652"/>
      <c r="AX42" s="1652"/>
      <c r="AY42" s="1652"/>
      <c r="AZ42" s="1652"/>
      <c r="BA42" s="1652"/>
      <c r="BB42" s="1652"/>
      <c r="BC42" s="1652"/>
      <c r="BD42" s="1652"/>
      <c r="BE42" s="1652"/>
      <c r="BF42" s="1652"/>
      <c r="BG42" s="1652"/>
      <c r="BH42" s="1652"/>
      <c r="BI42" s="1652"/>
    </row>
    <row r="43" spans="1:61" s="1653" customFormat="1" ht="42.75" thickBot="1" x14ac:dyDescent="0.7">
      <c r="A43" s="1558" t="s">
        <v>1255</v>
      </c>
      <c r="B43" s="1534">
        <f>[4]int.kiadások2022!B42</f>
        <v>889624</v>
      </c>
      <c r="C43" s="1529">
        <f>'[5]int.kiadások RM III'!D43</f>
        <v>911543</v>
      </c>
      <c r="D43" s="1534">
        <v>911452</v>
      </c>
      <c r="E43" s="1530">
        <f>D43/C43</f>
        <v>0.99990016927341885</v>
      </c>
      <c r="F43" s="1534">
        <f>[4]int.kiadások2022!C42</f>
        <v>135876</v>
      </c>
      <c r="G43" s="1529">
        <f>'[5]int.kiadások RM III'!G43</f>
        <v>138086</v>
      </c>
      <c r="H43" s="1534">
        <v>137215</v>
      </c>
      <c r="I43" s="1530">
        <f>H43/G43</f>
        <v>0.99369233665976275</v>
      </c>
      <c r="J43" s="1534">
        <f>[4]int.kiadások2022!D42</f>
        <v>145651</v>
      </c>
      <c r="K43" s="1529">
        <f>'[5]int.kiadások RM III'!J43</f>
        <v>173980</v>
      </c>
      <c r="L43" s="1534">
        <v>166358</v>
      </c>
      <c r="M43" s="1530">
        <f>L43/K43</f>
        <v>0.95619036670881707</v>
      </c>
      <c r="N43" s="1558" t="s">
        <v>1244</v>
      </c>
      <c r="O43" s="1534">
        <f>[4]int.kiadások2022!E42</f>
        <v>0</v>
      </c>
      <c r="P43" s="1529">
        <f>'[5]int.kiadások RM III'!N43</f>
        <v>0</v>
      </c>
      <c r="Q43" s="1534"/>
      <c r="R43" s="1530"/>
      <c r="S43" s="1534">
        <f>[4]int.kiadások2022!F42</f>
        <v>0</v>
      </c>
      <c r="T43" s="1534">
        <f>'[5]int.kiadások RM III'!Q43</f>
        <v>0</v>
      </c>
      <c r="U43" s="1534"/>
      <c r="V43" s="1530"/>
      <c r="W43" s="1531">
        <f>B43+F43+J43+O43+S43</f>
        <v>1171151</v>
      </c>
      <c r="X43" s="1531">
        <f>C43+G43+K43+P43+T43</f>
        <v>1223609</v>
      </c>
      <c r="Y43" s="1531">
        <f>D43+H43+L43+Q43+U43</f>
        <v>1215025</v>
      </c>
      <c r="Z43" s="1532">
        <f>Y43/X43</f>
        <v>0.99298468710184384</v>
      </c>
      <c r="AA43" s="1558" t="s">
        <v>1244</v>
      </c>
      <c r="AB43" s="1534">
        <f>[4]int.kiadások2022!I42</f>
        <v>0</v>
      </c>
      <c r="AC43" s="1529">
        <f>'[5]int.kiadások RM III'!X43</f>
        <v>6830</v>
      </c>
      <c r="AD43" s="1534">
        <v>6827</v>
      </c>
      <c r="AE43" s="1530">
        <f>AD43/AC43</f>
        <v>0.99956076134699856</v>
      </c>
      <c r="AF43" s="1534">
        <f>[4]int.kiadások2022!J42</f>
        <v>0</v>
      </c>
      <c r="AG43" s="1529">
        <f>'[5]int.kiadások RM III'!AA43</f>
        <v>31691</v>
      </c>
      <c r="AH43" s="1534">
        <v>22675</v>
      </c>
      <c r="AI43" s="1530">
        <f>AH43/AG43</f>
        <v>0.71550282414565647</v>
      </c>
      <c r="AJ43" s="1534">
        <f>[4]int.kiadások2022!K42</f>
        <v>0</v>
      </c>
      <c r="AK43" s="1534">
        <f>'[5]int.kiadások RM III'!AD43</f>
        <v>0</v>
      </c>
      <c r="AL43" s="1534"/>
      <c r="AM43" s="1530"/>
      <c r="AN43" s="1558" t="s">
        <v>1244</v>
      </c>
      <c r="AO43" s="1531">
        <f>AB43+AF43+AJ43</f>
        <v>0</v>
      </c>
      <c r="AP43" s="1531">
        <f>AC43+AG43+AK43</f>
        <v>38521</v>
      </c>
      <c r="AQ43" s="1531">
        <f>AD43+AH43+AL43</f>
        <v>29502</v>
      </c>
      <c r="AR43" s="1532">
        <f>AQ43/AP43</f>
        <v>0.76586796812128455</v>
      </c>
      <c r="AS43" s="1531">
        <f>W43+AO43</f>
        <v>1171151</v>
      </c>
      <c r="AT43" s="1531">
        <f>X43+AP43</f>
        <v>1262130</v>
      </c>
      <c r="AU43" s="1531">
        <f>Y43+AQ43</f>
        <v>1244527</v>
      </c>
      <c r="AV43" s="1532">
        <f>AU43/AT43</f>
        <v>0.98605294224842133</v>
      </c>
      <c r="AW43" s="1652"/>
      <c r="AX43" s="1652"/>
      <c r="AY43" s="1652"/>
      <c r="AZ43" s="1652"/>
      <c r="BA43" s="1652"/>
      <c r="BB43" s="1652"/>
      <c r="BC43" s="1652"/>
      <c r="BD43" s="1652"/>
      <c r="BE43" s="1652"/>
      <c r="BF43" s="1652"/>
      <c r="BG43" s="1652"/>
      <c r="BH43" s="1652"/>
      <c r="BI43" s="1652"/>
    </row>
    <row r="44" spans="1:61" s="1653" customFormat="1" ht="49.5" customHeight="1" x14ac:dyDescent="0.65">
      <c r="A44" s="1553" t="s">
        <v>1245</v>
      </c>
      <c r="B44" s="1554"/>
      <c r="C44" s="1554"/>
      <c r="D44" s="1554"/>
      <c r="E44" s="1554"/>
      <c r="F44" s="1554"/>
      <c r="G44" s="1554"/>
      <c r="H44" s="1554"/>
      <c r="I44" s="1554"/>
      <c r="J44" s="1554"/>
      <c r="K44" s="1554"/>
      <c r="L44" s="1554"/>
      <c r="M44" s="1554"/>
      <c r="N44" s="1553" t="s">
        <v>1245</v>
      </c>
      <c r="O44" s="1554"/>
      <c r="P44" s="1554"/>
      <c r="Q44" s="1554"/>
      <c r="R44" s="1554"/>
      <c r="S44" s="1554"/>
      <c r="T44" s="1554"/>
      <c r="U44" s="1554"/>
      <c r="V44" s="1554"/>
      <c r="W44" s="1554"/>
      <c r="X44" s="1554"/>
      <c r="Y44" s="1554"/>
      <c r="Z44" s="1554"/>
      <c r="AA44" s="1553" t="s">
        <v>1245</v>
      </c>
      <c r="AB44" s="1554"/>
      <c r="AC44" s="1554"/>
      <c r="AD44" s="1554"/>
      <c r="AE44" s="1554"/>
      <c r="AF44" s="1554"/>
      <c r="AG44" s="1554"/>
      <c r="AH44" s="1554"/>
      <c r="AI44" s="1554"/>
      <c r="AJ44" s="1554"/>
      <c r="AK44" s="1554"/>
      <c r="AL44" s="1554"/>
      <c r="AM44" s="1554"/>
      <c r="AN44" s="1553" t="s">
        <v>1245</v>
      </c>
      <c r="AO44" s="1554"/>
      <c r="AP44" s="1554"/>
      <c r="AQ44" s="1554"/>
      <c r="AR44" s="1554"/>
      <c r="AS44" s="1554"/>
      <c r="AT44" s="1554"/>
      <c r="AU44" s="1554"/>
      <c r="AV44" s="1554"/>
      <c r="AW44" s="1652"/>
      <c r="AX44" s="1652"/>
      <c r="AY44" s="1652"/>
      <c r="AZ44" s="1652"/>
      <c r="BA44" s="1652"/>
      <c r="BB44" s="1652"/>
      <c r="BC44" s="1652"/>
      <c r="BD44" s="1652"/>
      <c r="BE44" s="1652"/>
      <c r="BF44" s="1652"/>
      <c r="BG44" s="1652"/>
      <c r="BH44" s="1652"/>
      <c r="BI44" s="1652"/>
    </row>
    <row r="45" spans="1:61" s="1653" customFormat="1" ht="49.5" customHeight="1" x14ac:dyDescent="0.65">
      <c r="A45" s="1559" t="s">
        <v>1246</v>
      </c>
      <c r="B45" s="1529">
        <f>[4]int.kiadások2022!B44</f>
        <v>60737</v>
      </c>
      <c r="C45" s="1529">
        <f>'[5]int.kiadások RM III'!D45</f>
        <v>50456</v>
      </c>
      <c r="D45" s="1529">
        <v>50449</v>
      </c>
      <c r="E45" s="1530">
        <f>D45/C45</f>
        <v>0.99986126526082131</v>
      </c>
      <c r="F45" s="1529">
        <f>[4]int.kiadások2022!C44</f>
        <v>8074</v>
      </c>
      <c r="G45" s="1529">
        <f>'[5]int.kiadások RM III'!G45</f>
        <v>6815</v>
      </c>
      <c r="H45" s="1529">
        <v>6814</v>
      </c>
      <c r="I45" s="1530">
        <f>H45/G45</f>
        <v>0.99985326485693327</v>
      </c>
      <c r="J45" s="1529">
        <f>[4]int.kiadások2022!D44</f>
        <v>63040</v>
      </c>
      <c r="K45" s="1529">
        <f>'[5]int.kiadások RM III'!J45</f>
        <v>82741</v>
      </c>
      <c r="L45" s="1529">
        <v>77922</v>
      </c>
      <c r="M45" s="1530">
        <f>L45/K45</f>
        <v>0.94175801597756859</v>
      </c>
      <c r="N45" s="1559" t="s">
        <v>1246</v>
      </c>
      <c r="O45" s="1529">
        <f>[4]int.kiadások2022!E44</f>
        <v>0</v>
      </c>
      <c r="P45" s="1529">
        <f>'[5]int.kiadások RM III'!N45</f>
        <v>0</v>
      </c>
      <c r="Q45" s="1529"/>
      <c r="R45" s="1530"/>
      <c r="S45" s="1529">
        <f>[4]int.kiadások2022!F44</f>
        <v>9299</v>
      </c>
      <c r="T45" s="1529">
        <f>'[5]int.kiadások RM III'!Q45</f>
        <v>9299</v>
      </c>
      <c r="U45" s="1529">
        <v>9299</v>
      </c>
      <c r="V45" s="1530">
        <f>U45/T45</f>
        <v>1</v>
      </c>
      <c r="W45" s="1531">
        <f t="shared" ref="W45:Y46" si="13">B45+F45+J45+O45+S45</f>
        <v>141150</v>
      </c>
      <c r="X45" s="1531">
        <f t="shared" si="13"/>
        <v>149311</v>
      </c>
      <c r="Y45" s="1531">
        <f t="shared" si="13"/>
        <v>144484</v>
      </c>
      <c r="Z45" s="1532">
        <f>Y45/X45</f>
        <v>0.96767150444374495</v>
      </c>
      <c r="AA45" s="1559" t="s">
        <v>1246</v>
      </c>
      <c r="AB45" s="1529">
        <f>[4]int.kiadások2022!I44</f>
        <v>5300</v>
      </c>
      <c r="AC45" s="1529">
        <f>'[5]int.kiadások RM III'!X45</f>
        <v>10173</v>
      </c>
      <c r="AD45" s="1529">
        <v>6506</v>
      </c>
      <c r="AE45" s="1530">
        <f>AD45/AC45</f>
        <v>0.63953602673744225</v>
      </c>
      <c r="AF45" s="1529">
        <f>[4]int.kiadások2022!J44</f>
        <v>0</v>
      </c>
      <c r="AG45" s="1529">
        <f>'[5]int.kiadások RM III'!AA45</f>
        <v>29585</v>
      </c>
      <c r="AH45" s="1529">
        <v>29149</v>
      </c>
      <c r="AI45" s="1530">
        <f>AH45/AG45</f>
        <v>0.98526280209565653</v>
      </c>
      <c r="AJ45" s="1529">
        <f>[4]int.kiadások2022!K44</f>
        <v>0</v>
      </c>
      <c r="AK45" s="1529">
        <f>'[5]int.kiadások RM III'!AD45</f>
        <v>0</v>
      </c>
      <c r="AL45" s="1529"/>
      <c r="AM45" s="1530"/>
      <c r="AN45" s="1559" t="s">
        <v>1246</v>
      </c>
      <c r="AO45" s="1531">
        <f t="shared" ref="AO45:AQ46" si="14">AB45+AF45+AJ45</f>
        <v>5300</v>
      </c>
      <c r="AP45" s="1531">
        <f t="shared" si="14"/>
        <v>39758</v>
      </c>
      <c r="AQ45" s="1531">
        <f t="shared" si="14"/>
        <v>35655</v>
      </c>
      <c r="AR45" s="1532">
        <f>AQ45/AP45</f>
        <v>0.89680064389556824</v>
      </c>
      <c r="AS45" s="1531">
        <f t="shared" ref="AS45:AU46" si="15">W45+AO45</f>
        <v>146450</v>
      </c>
      <c r="AT45" s="1531">
        <f t="shared" si="15"/>
        <v>189069</v>
      </c>
      <c r="AU45" s="1531">
        <f t="shared" si="15"/>
        <v>180139</v>
      </c>
      <c r="AV45" s="1532">
        <f>AU45/AT45</f>
        <v>0.95276856597326898</v>
      </c>
      <c r="AW45" s="1652"/>
      <c r="AX45" s="1652"/>
      <c r="AY45" s="1652"/>
      <c r="AZ45" s="1652"/>
      <c r="BA45" s="1652"/>
      <c r="BB45" s="1652"/>
      <c r="BC45" s="1652"/>
      <c r="BD45" s="1652"/>
      <c r="BE45" s="1652"/>
      <c r="BF45" s="1652"/>
      <c r="BG45" s="1652"/>
      <c r="BH45" s="1652"/>
      <c r="BI45" s="1652"/>
    </row>
    <row r="46" spans="1:61" s="1653" customFormat="1" ht="49.5" customHeight="1" thickBot="1" x14ac:dyDescent="0.7">
      <c r="A46" s="1560" t="s">
        <v>46</v>
      </c>
      <c r="B46" s="1561">
        <f>[4]int.kiadások2022!B45</f>
        <v>1665471</v>
      </c>
      <c r="C46" s="1561">
        <f>'[5]int.kiadások RM III'!D46</f>
        <v>1811671</v>
      </c>
      <c r="D46" s="1561">
        <v>1698452</v>
      </c>
      <c r="E46" s="1537">
        <f>D46/C46</f>
        <v>0.9375057612557689</v>
      </c>
      <c r="F46" s="1561">
        <f>[4]int.kiadások2022!C45</f>
        <v>246824</v>
      </c>
      <c r="G46" s="1561">
        <f>'[5]int.kiadások RM III'!G46</f>
        <v>270622</v>
      </c>
      <c r="H46" s="1561">
        <f>245552+1</f>
        <v>245553</v>
      </c>
      <c r="I46" s="1537">
        <f>H46/G46</f>
        <v>0.90736525485732866</v>
      </c>
      <c r="J46" s="1561">
        <f>[4]int.kiadások2022!D45</f>
        <v>349797</v>
      </c>
      <c r="K46" s="1561">
        <f>'[5]int.kiadások RM III'!J46</f>
        <v>418465</v>
      </c>
      <c r="L46" s="1561">
        <v>321595</v>
      </c>
      <c r="M46" s="1537">
        <f>L46/K46</f>
        <v>0.7685111060662182</v>
      </c>
      <c r="N46" s="1560" t="s">
        <v>46</v>
      </c>
      <c r="O46" s="1561">
        <f>[4]int.kiadások2022!E45</f>
        <v>0</v>
      </c>
      <c r="P46" s="1561">
        <f>'[5]int.kiadások RM III'!N46</f>
        <v>0</v>
      </c>
      <c r="Q46" s="1560"/>
      <c r="R46" s="1537"/>
      <c r="S46" s="1561">
        <f>[4]int.kiadások2022!F45</f>
        <v>3950</v>
      </c>
      <c r="T46" s="1561">
        <f>'[5]int.kiadások RM III'!Q46</f>
        <v>11406</v>
      </c>
      <c r="U46" s="1561">
        <v>4447</v>
      </c>
      <c r="V46" s="1537">
        <f>U46/T46</f>
        <v>0.38988251797299667</v>
      </c>
      <c r="W46" s="1562">
        <f t="shared" si="13"/>
        <v>2266042</v>
      </c>
      <c r="X46" s="1562">
        <f t="shared" si="13"/>
        <v>2512164</v>
      </c>
      <c r="Y46" s="1562">
        <f t="shared" si="13"/>
        <v>2270047</v>
      </c>
      <c r="Z46" s="1563">
        <f>Y46/X46</f>
        <v>0.90362213613442433</v>
      </c>
      <c r="AA46" s="1560" t="s">
        <v>46</v>
      </c>
      <c r="AB46" s="1561">
        <f>[4]int.kiadások2022!I45</f>
        <v>88490</v>
      </c>
      <c r="AC46" s="1561">
        <f>'[5]int.kiadások RM III'!X46</f>
        <v>113266</v>
      </c>
      <c r="AD46" s="1561">
        <v>97630</v>
      </c>
      <c r="AE46" s="1537">
        <f>AD46/AC46</f>
        <v>0.86195327812406197</v>
      </c>
      <c r="AF46" s="1561">
        <f>[4]int.kiadások2022!J45</f>
        <v>0</v>
      </c>
      <c r="AG46" s="1561">
        <f>'[5]int.kiadások RM III'!AA46</f>
        <v>0</v>
      </c>
      <c r="AH46" s="1561"/>
      <c r="AI46" s="1537"/>
      <c r="AJ46" s="1561">
        <f>[4]int.kiadások2022!K45</f>
        <v>0</v>
      </c>
      <c r="AK46" s="1561">
        <f>'[5]int.kiadások RM III'!AD46</f>
        <v>0</v>
      </c>
      <c r="AL46" s="1560"/>
      <c r="AM46" s="1560"/>
      <c r="AN46" s="1560" t="s">
        <v>46</v>
      </c>
      <c r="AO46" s="1562">
        <f t="shared" si="14"/>
        <v>88490</v>
      </c>
      <c r="AP46" s="1562">
        <f t="shared" si="14"/>
        <v>113266</v>
      </c>
      <c r="AQ46" s="1562">
        <f t="shared" si="14"/>
        <v>97630</v>
      </c>
      <c r="AR46" s="1563">
        <f>AQ46/AP46</f>
        <v>0.86195327812406197</v>
      </c>
      <c r="AS46" s="1562">
        <f t="shared" si="15"/>
        <v>2354532</v>
      </c>
      <c r="AT46" s="1562">
        <f t="shared" si="15"/>
        <v>2625430</v>
      </c>
      <c r="AU46" s="1562">
        <f t="shared" si="15"/>
        <v>2367677</v>
      </c>
      <c r="AV46" s="1563">
        <f>AU46/AT46</f>
        <v>0.90182446304034003</v>
      </c>
      <c r="AW46" s="1652"/>
      <c r="AX46" s="1652"/>
      <c r="AY46" s="1652"/>
      <c r="AZ46" s="1652"/>
      <c r="BA46" s="1652"/>
      <c r="BB46" s="1652"/>
      <c r="BC46" s="1652"/>
      <c r="BD46" s="1652"/>
      <c r="BE46" s="1652"/>
      <c r="BF46" s="1652"/>
      <c r="BG46" s="1652"/>
      <c r="BH46" s="1652"/>
      <c r="BI46" s="1652"/>
    </row>
    <row r="47" spans="1:61" s="1653" customFormat="1" ht="49.5" customHeight="1" thickBot="1" x14ac:dyDescent="0.7">
      <c r="A47" s="1564" t="s">
        <v>1247</v>
      </c>
      <c r="B47" s="1565">
        <f>SUM(B45:B46)</f>
        <v>1726208</v>
      </c>
      <c r="C47" s="1565">
        <f>SUM(C45:C46)</f>
        <v>1862127</v>
      </c>
      <c r="D47" s="1565">
        <f>SUM(D45:D46)</f>
        <v>1748901</v>
      </c>
      <c r="E47" s="1544">
        <f>D47/C47</f>
        <v>0.93919533952302936</v>
      </c>
      <c r="F47" s="1565">
        <f>SUM(F45:F46)</f>
        <v>254898</v>
      </c>
      <c r="G47" s="1565">
        <f>SUM(G45:G46)</f>
        <v>277437</v>
      </c>
      <c r="H47" s="1565">
        <f>SUM(H45:H46)</f>
        <v>252367</v>
      </c>
      <c r="I47" s="1544">
        <f>H47/G47</f>
        <v>0.90963714284684449</v>
      </c>
      <c r="J47" s="1565">
        <f>SUM(J45:J46)</f>
        <v>412837</v>
      </c>
      <c r="K47" s="1565">
        <f>SUM(K45:K46)</f>
        <v>501206</v>
      </c>
      <c r="L47" s="1565">
        <f>SUM(L45:L46)</f>
        <v>399517</v>
      </c>
      <c r="M47" s="1544">
        <f>L47/K47</f>
        <v>0.79711136738187494</v>
      </c>
      <c r="N47" s="1564" t="s">
        <v>1247</v>
      </c>
      <c r="O47" s="1565">
        <f>SUM(O45:O46)</f>
        <v>0</v>
      </c>
      <c r="P47" s="1565">
        <f>SUM(P45:P46)</f>
        <v>0</v>
      </c>
      <c r="Q47" s="1565">
        <f>SUM(Q45:Q46)</f>
        <v>0</v>
      </c>
      <c r="R47" s="1544"/>
      <c r="S47" s="1565">
        <f>SUM(S45:S46)</f>
        <v>13249</v>
      </c>
      <c r="T47" s="1565">
        <f>SUM(T45:T46)</f>
        <v>20705</v>
      </c>
      <c r="U47" s="1565">
        <f>SUM(U45:U46)</f>
        <v>13746</v>
      </c>
      <c r="V47" s="1544">
        <f>U47/T47</f>
        <v>0.66389760927312247</v>
      </c>
      <c r="W47" s="1565">
        <f>SUM(W45:W46)</f>
        <v>2407192</v>
      </c>
      <c r="X47" s="1565">
        <f>SUM(X45:X46)</f>
        <v>2661475</v>
      </c>
      <c r="Y47" s="1565">
        <f>SUM(Y45:Y46)</f>
        <v>2414531</v>
      </c>
      <c r="Z47" s="1544">
        <f>Y47/X47</f>
        <v>0.90721535990381275</v>
      </c>
      <c r="AA47" s="1564" t="s">
        <v>1247</v>
      </c>
      <c r="AB47" s="1565">
        <f>SUM(AB45:AB46)</f>
        <v>93790</v>
      </c>
      <c r="AC47" s="1565">
        <f>SUM(AC45:AC46)</f>
        <v>123439</v>
      </c>
      <c r="AD47" s="1565">
        <f>SUM(AD45:AD46)</f>
        <v>104136</v>
      </c>
      <c r="AE47" s="1544">
        <f>AD47/AC47</f>
        <v>0.84362316609823473</v>
      </c>
      <c r="AF47" s="1565">
        <f>SUM(AF45:AF46)</f>
        <v>0</v>
      </c>
      <c r="AG47" s="1565">
        <f>SUM(AG45:AG46)</f>
        <v>29585</v>
      </c>
      <c r="AH47" s="1565">
        <f>SUM(AH45:AH46)</f>
        <v>29149</v>
      </c>
      <c r="AI47" s="1544">
        <f>AH47/AG47</f>
        <v>0.98526280209565653</v>
      </c>
      <c r="AJ47" s="1565">
        <f>SUM(AJ45:AJ46)</f>
        <v>0</v>
      </c>
      <c r="AK47" s="1565">
        <f>SUM(AK45:AK46)</f>
        <v>0</v>
      </c>
      <c r="AL47" s="1565">
        <f>SUM(AL45:AL46)</f>
        <v>0</v>
      </c>
      <c r="AM47" s="1544"/>
      <c r="AN47" s="1564" t="s">
        <v>1247</v>
      </c>
      <c r="AO47" s="1565">
        <f>SUM(AO45:AO46)</f>
        <v>93790</v>
      </c>
      <c r="AP47" s="1565">
        <f>SUM(AP45:AP46)</f>
        <v>153024</v>
      </c>
      <c r="AQ47" s="1565">
        <f>SUM(AQ45:AQ46)</f>
        <v>133285</v>
      </c>
      <c r="AR47" s="1544">
        <f>AQ47/AP47</f>
        <v>0.8710071622751987</v>
      </c>
      <c r="AS47" s="1565">
        <f>SUM(AS45:AS46)</f>
        <v>2500982</v>
      </c>
      <c r="AT47" s="1565">
        <f>SUM(AT45:AT46)</f>
        <v>2814499</v>
      </c>
      <c r="AU47" s="1565">
        <f>SUM(AU45:AU46)</f>
        <v>2547816</v>
      </c>
      <c r="AV47" s="1544">
        <f>AU47/AT47</f>
        <v>0.90524672419496333</v>
      </c>
      <c r="AW47" s="1652"/>
      <c r="AX47" s="1652"/>
      <c r="AY47" s="1652"/>
      <c r="AZ47" s="1652"/>
      <c r="BA47" s="1652"/>
      <c r="BB47" s="1652"/>
      <c r="BC47" s="1652"/>
      <c r="BD47" s="1652"/>
      <c r="BE47" s="1652"/>
      <c r="BF47" s="1652"/>
      <c r="BG47" s="1652"/>
      <c r="BH47" s="1652"/>
      <c r="BI47" s="1652"/>
    </row>
    <row r="48" spans="1:61" s="1653" customFormat="1" ht="49.5" customHeight="1" thickBot="1" x14ac:dyDescent="0.7">
      <c r="A48" s="1564" t="s">
        <v>1248</v>
      </c>
      <c r="B48" s="1562">
        <f>B37+B39+B41+B43+B47</f>
        <v>5002030</v>
      </c>
      <c r="C48" s="1562">
        <f>C37+C39+C41+C43+C47</f>
        <v>5695842</v>
      </c>
      <c r="D48" s="1562">
        <f>D37+D39+D41+D43+D47</f>
        <v>5422856</v>
      </c>
      <c r="E48" s="1540">
        <f>D48/C48</f>
        <v>0.95207275763618449</v>
      </c>
      <c r="F48" s="1562">
        <f>F37+F39+F41+F43+F47</f>
        <v>730489</v>
      </c>
      <c r="G48" s="1562">
        <f>G37+G39+G41+G43+G47</f>
        <v>828839</v>
      </c>
      <c r="H48" s="1562">
        <f>H37+H39+H41+H43+H47</f>
        <v>784491</v>
      </c>
      <c r="I48" s="1540">
        <f>H48/G48</f>
        <v>0.94649383052679714</v>
      </c>
      <c r="J48" s="1562">
        <f>J37+J39+J41+J43+J47</f>
        <v>1416981</v>
      </c>
      <c r="K48" s="1562">
        <f>K37+K39+K41+K43+K47</f>
        <v>2400273</v>
      </c>
      <c r="L48" s="1562">
        <f>L37+L39+L41+L43+L47</f>
        <v>1859807</v>
      </c>
      <c r="M48" s="1540">
        <f>L48/K48</f>
        <v>0.77483144625632172</v>
      </c>
      <c r="N48" s="1564" t="s">
        <v>1248</v>
      </c>
      <c r="O48" s="1562">
        <f>O37+O39+O41+O43+O47</f>
        <v>0</v>
      </c>
      <c r="P48" s="1562">
        <f>P37+P39+P41+P43+P47</f>
        <v>0</v>
      </c>
      <c r="Q48" s="1562">
        <f>Q37+Q39+Q41+Q43+Q47</f>
        <v>0</v>
      </c>
      <c r="R48" s="1540"/>
      <c r="S48" s="1562">
        <f>S37+S39+S41+S43+S47</f>
        <v>13249</v>
      </c>
      <c r="T48" s="1562">
        <f>T37+T39+T41+T43+T47</f>
        <v>28553</v>
      </c>
      <c r="U48" s="1562">
        <f>U37+U39+U41+U43+U47</f>
        <v>21594</v>
      </c>
      <c r="V48" s="1540">
        <f>U48/T48</f>
        <v>0.75627779918047144</v>
      </c>
      <c r="W48" s="1562">
        <f>W37+W39+W41+W43+W47</f>
        <v>7162749</v>
      </c>
      <c r="X48" s="1562">
        <f>X37+X39+X41+X43+X47</f>
        <v>8953507</v>
      </c>
      <c r="Y48" s="1562">
        <f>Y37+Y39+Y41+Y43+Y47</f>
        <v>8088748</v>
      </c>
      <c r="Z48" s="1540">
        <f>Y48/X48</f>
        <v>0.90341672821610575</v>
      </c>
      <c r="AA48" s="1564" t="s">
        <v>1248</v>
      </c>
      <c r="AB48" s="1562">
        <f>AB37+AB39+AB41+AB43+AB47</f>
        <v>98223</v>
      </c>
      <c r="AC48" s="1562">
        <f>AC37+AC39+AC41+AC43+AC47</f>
        <v>272007</v>
      </c>
      <c r="AD48" s="1562">
        <f>AD37+AD39+AD41+AD43+AD47</f>
        <v>193794</v>
      </c>
      <c r="AE48" s="1540">
        <f>AD48/AC48</f>
        <v>0.71245960581896794</v>
      </c>
      <c r="AF48" s="1562">
        <f>AF37+AF39+AF41+AF43+AF47</f>
        <v>0</v>
      </c>
      <c r="AG48" s="1562">
        <f>AG37+AG39+AG41+AG43+AG47</f>
        <v>85537</v>
      </c>
      <c r="AH48" s="1562">
        <f>AH37+AH39+AH41+AH43+AH47</f>
        <v>76084</v>
      </c>
      <c r="AI48" s="1540">
        <f>AH48/AG48</f>
        <v>0.88948642108093579</v>
      </c>
      <c r="AJ48" s="1562">
        <f>AJ37+AJ39+AJ41+AJ43+AJ47</f>
        <v>0</v>
      </c>
      <c r="AK48" s="1562">
        <f>AK37+AK39+AK41+AK43+AK47</f>
        <v>0</v>
      </c>
      <c r="AL48" s="1562">
        <f>AL37+AL39+AL41+AL43+AL47</f>
        <v>0</v>
      </c>
      <c r="AM48" s="1540"/>
      <c r="AN48" s="1564" t="s">
        <v>1248</v>
      </c>
      <c r="AO48" s="1562">
        <f>AO37+AO39+AO41+AO43+AO47</f>
        <v>98223</v>
      </c>
      <c r="AP48" s="1562">
        <f>AP37+AP39+AP41+AP43+AP47</f>
        <v>357544</v>
      </c>
      <c r="AQ48" s="1562">
        <f>AQ37+AQ39+AQ41+AQ43+AQ47</f>
        <v>269878</v>
      </c>
      <c r="AR48" s="1540">
        <f>AQ48/AP48</f>
        <v>0.7548105967377442</v>
      </c>
      <c r="AS48" s="1562">
        <f>AS37+AS39+AS41+AS43+AS47</f>
        <v>7260972</v>
      </c>
      <c r="AT48" s="1562">
        <f>AT37+AT39+AT41+AT43+AT47</f>
        <v>9311051</v>
      </c>
      <c r="AU48" s="1562">
        <f>AU37+AU39+AU41+AU43+AU47</f>
        <v>8358626</v>
      </c>
      <c r="AV48" s="1540">
        <f>AU48/AT48</f>
        <v>0.89771025848746833</v>
      </c>
      <c r="AW48" s="1652"/>
      <c r="AX48" s="1652"/>
      <c r="AY48" s="1652"/>
      <c r="AZ48" s="1652"/>
      <c r="BA48" s="1652"/>
      <c r="BB48" s="1652"/>
      <c r="BC48" s="1652"/>
      <c r="BD48" s="1652"/>
      <c r="BE48" s="1652"/>
      <c r="BF48" s="1652"/>
      <c r="BG48" s="1652"/>
      <c r="BH48" s="1652"/>
      <c r="BI48" s="1652"/>
    </row>
    <row r="49" spans="1:61" s="1653" customFormat="1" ht="49.5" customHeight="1" thickBot="1" x14ac:dyDescent="0.7">
      <c r="A49" s="1566" t="s">
        <v>1249</v>
      </c>
      <c r="B49" s="1539">
        <f>B30+B48</f>
        <v>7043680</v>
      </c>
      <c r="C49" s="1539">
        <f>C30+C48</f>
        <v>7762587</v>
      </c>
      <c r="D49" s="1539">
        <f>D30+D48</f>
        <v>7362255</v>
      </c>
      <c r="E49" s="1540">
        <f>D49/C49</f>
        <v>0.94842801761835327</v>
      </c>
      <c r="F49" s="1539">
        <f>F30+F48</f>
        <v>1018444</v>
      </c>
      <c r="G49" s="1539">
        <f>G30+G48</f>
        <v>1116830</v>
      </c>
      <c r="H49" s="1539">
        <f>H30+H48</f>
        <v>1055057</v>
      </c>
      <c r="I49" s="1540">
        <f>H49/G49</f>
        <v>0.94468898579013816</v>
      </c>
      <c r="J49" s="1539">
        <f>J30+J48</f>
        <v>2803410</v>
      </c>
      <c r="K49" s="1539">
        <f>K30+K48</f>
        <v>4014399</v>
      </c>
      <c r="L49" s="1539">
        <f>L30+L48</f>
        <v>3417892</v>
      </c>
      <c r="M49" s="1540">
        <f>L49/K49</f>
        <v>0.8514081435353088</v>
      </c>
      <c r="N49" s="1566" t="s">
        <v>1249</v>
      </c>
      <c r="O49" s="1539">
        <f>O30+O48</f>
        <v>0</v>
      </c>
      <c r="P49" s="1539">
        <f>P30+P48</f>
        <v>0</v>
      </c>
      <c r="Q49" s="1539">
        <f>Q30+Q48</f>
        <v>0</v>
      </c>
      <c r="R49" s="1540"/>
      <c r="S49" s="1539">
        <f>S30+S48</f>
        <v>13249</v>
      </c>
      <c r="T49" s="1539">
        <f>T30+T48</f>
        <v>28553</v>
      </c>
      <c r="U49" s="1539">
        <f>U30+U48</f>
        <v>21594</v>
      </c>
      <c r="V49" s="1540">
        <f>U49/T49</f>
        <v>0.75627779918047144</v>
      </c>
      <c r="W49" s="1539">
        <f>W30+W48</f>
        <v>10878783</v>
      </c>
      <c r="X49" s="1539">
        <f>X30+X48</f>
        <v>12922369</v>
      </c>
      <c r="Y49" s="1539">
        <f>Y30+Y48</f>
        <v>11856798</v>
      </c>
      <c r="Z49" s="1540">
        <f>Y49/X49</f>
        <v>0.91754058408330552</v>
      </c>
      <c r="AA49" s="1566" t="s">
        <v>1249</v>
      </c>
      <c r="AB49" s="1539">
        <f>AB30+AB48</f>
        <v>98223</v>
      </c>
      <c r="AC49" s="1539">
        <f>AC30+AC48</f>
        <v>334376</v>
      </c>
      <c r="AD49" s="1539">
        <f>AD30+AD48</f>
        <v>240222</v>
      </c>
      <c r="AE49" s="1540">
        <f>AD49/AC49</f>
        <v>0.71841878603727538</v>
      </c>
      <c r="AF49" s="1539">
        <f>AF30+AF48</f>
        <v>0</v>
      </c>
      <c r="AG49" s="1539">
        <f>AG30+AG48</f>
        <v>140938</v>
      </c>
      <c r="AH49" s="1539">
        <f>AH30+AH48</f>
        <v>111607</v>
      </c>
      <c r="AI49" s="1540">
        <f>AH49/AG49</f>
        <v>0.79188721281698338</v>
      </c>
      <c r="AJ49" s="1539">
        <f>AJ30+AJ48</f>
        <v>0</v>
      </c>
      <c r="AK49" s="1539">
        <f>AK30+AK48</f>
        <v>0</v>
      </c>
      <c r="AL49" s="1539">
        <f>AL30+AL48</f>
        <v>0</v>
      </c>
      <c r="AM49" s="1540"/>
      <c r="AN49" s="1566" t="s">
        <v>1249</v>
      </c>
      <c r="AO49" s="1539">
        <f>AO30+AO48</f>
        <v>98223</v>
      </c>
      <c r="AP49" s="1539">
        <f>AP30+AP48</f>
        <v>475314</v>
      </c>
      <c r="AQ49" s="1539">
        <f>AQ30+AQ48</f>
        <v>351829</v>
      </c>
      <c r="AR49" s="1540">
        <f>AQ49/AP49</f>
        <v>0.74020331822752961</v>
      </c>
      <c r="AS49" s="1539">
        <f>AS30+AS48</f>
        <v>10977006</v>
      </c>
      <c r="AT49" s="1539">
        <f>AT30+AT48</f>
        <v>13397683</v>
      </c>
      <c r="AU49" s="1539">
        <f>AU30+AU48</f>
        <v>12208627</v>
      </c>
      <c r="AV49" s="1540">
        <f>AU49/AT49</f>
        <v>0.91124913165955634</v>
      </c>
      <c r="AW49" s="1652"/>
      <c r="AX49" s="1652"/>
      <c r="AY49" s="1652"/>
      <c r="AZ49" s="1652"/>
      <c r="BA49" s="1652"/>
      <c r="BB49" s="1652"/>
      <c r="BC49" s="1652"/>
      <c r="BD49" s="1652"/>
      <c r="BE49" s="1652"/>
      <c r="BF49" s="1652"/>
      <c r="BG49" s="1652"/>
      <c r="BH49" s="1652"/>
      <c r="BI49" s="1652"/>
    </row>
    <row r="50" spans="1:61" s="839" customFormat="1" ht="49.5" customHeight="1" thickBot="1" x14ac:dyDescent="0.45">
      <c r="A50" s="833"/>
      <c r="B50" s="834"/>
      <c r="C50" s="834"/>
      <c r="D50" s="835"/>
      <c r="E50" s="834"/>
      <c r="F50" s="834"/>
      <c r="G50" s="834"/>
      <c r="H50" s="834"/>
      <c r="I50" s="834"/>
      <c r="J50" s="834"/>
      <c r="K50" s="834"/>
      <c r="L50" s="835"/>
      <c r="M50" s="834"/>
      <c r="N50" s="833"/>
      <c r="O50" s="834"/>
      <c r="P50" s="834"/>
      <c r="Q50" s="834"/>
      <c r="R50" s="834"/>
      <c r="S50" s="834"/>
      <c r="T50" s="834"/>
      <c r="U50" s="834"/>
      <c r="V50" s="834"/>
      <c r="W50" s="834"/>
      <c r="X50" s="834"/>
      <c r="Y50" s="834"/>
      <c r="Z50" s="834"/>
      <c r="AA50" s="836"/>
      <c r="AB50" s="833"/>
      <c r="AC50" s="833"/>
      <c r="AD50" s="837"/>
      <c r="AE50" s="833"/>
      <c r="AF50" s="833"/>
      <c r="AG50" s="833"/>
      <c r="AH50" s="833"/>
      <c r="AI50" s="833"/>
      <c r="AJ50" s="833"/>
      <c r="AK50" s="833"/>
      <c r="AL50" s="833"/>
      <c r="AM50" s="833"/>
      <c r="AN50" s="836"/>
      <c r="AO50" s="833"/>
      <c r="AP50" s="833"/>
      <c r="AQ50" s="833"/>
      <c r="AR50" s="833"/>
      <c r="AS50" s="833"/>
      <c r="AT50" s="833"/>
      <c r="AU50" s="833"/>
      <c r="AV50" s="833"/>
      <c r="AW50" s="838"/>
      <c r="AX50" s="838"/>
      <c r="AY50" s="838"/>
      <c r="AZ50" s="838"/>
      <c r="BA50" s="838"/>
      <c r="BB50" s="838"/>
      <c r="BC50" s="838"/>
      <c r="BD50" s="838"/>
      <c r="BE50" s="838"/>
      <c r="BF50" s="838"/>
      <c r="BG50" s="838"/>
      <c r="BH50" s="838"/>
      <c r="BI50" s="838"/>
    </row>
    <row r="51" spans="1:61" s="845" customFormat="1" ht="49.5" customHeight="1" thickBot="1" x14ac:dyDescent="0.45">
      <c r="A51" s="840"/>
      <c r="B51" s="841"/>
      <c r="C51" s="841"/>
      <c r="D51" s="841"/>
      <c r="E51" s="841"/>
      <c r="F51" s="841"/>
      <c r="G51" s="841"/>
      <c r="H51" s="841"/>
      <c r="I51" s="841"/>
      <c r="J51" s="841"/>
      <c r="K51" s="841"/>
      <c r="L51" s="841"/>
      <c r="M51" s="841"/>
      <c r="N51" s="840"/>
      <c r="O51" s="841"/>
      <c r="P51" s="841"/>
      <c r="Q51" s="841"/>
      <c r="R51" s="841"/>
      <c r="S51" s="841"/>
      <c r="T51" s="841"/>
      <c r="U51" s="841"/>
      <c r="V51" s="841"/>
      <c r="W51" s="841"/>
      <c r="X51" s="841"/>
      <c r="Y51" s="841"/>
      <c r="Z51" s="841"/>
      <c r="AA51" s="842"/>
      <c r="AB51" s="843"/>
      <c r="AC51" s="843"/>
      <c r="AD51" s="840"/>
      <c r="AE51" s="840"/>
      <c r="AF51" s="843"/>
      <c r="AG51" s="843"/>
      <c r="AH51" s="840"/>
      <c r="AI51" s="840"/>
      <c r="AJ51" s="843"/>
      <c r="AK51" s="843"/>
      <c r="AL51" s="840"/>
      <c r="AM51" s="840"/>
      <c r="AN51" s="842"/>
      <c r="AO51" s="843"/>
      <c r="AP51" s="843"/>
      <c r="AQ51" s="843"/>
      <c r="AR51" s="840"/>
      <c r="AS51" s="843"/>
      <c r="AT51" s="843"/>
      <c r="AU51" s="844"/>
      <c r="AV51" s="840"/>
      <c r="AW51" s="843"/>
      <c r="AX51" s="843"/>
      <c r="AY51" s="843"/>
      <c r="AZ51" s="843"/>
      <c r="BA51" s="843"/>
      <c r="BB51" s="843"/>
      <c r="BC51" s="843"/>
      <c r="BD51" s="843"/>
      <c r="BE51" s="843"/>
      <c r="BF51" s="843"/>
      <c r="BG51" s="843"/>
      <c r="BH51" s="843"/>
      <c r="BI51" s="843"/>
    </row>
    <row r="52" spans="1:61" s="845" customFormat="1" ht="49.5" customHeight="1" x14ac:dyDescent="0.4">
      <c r="A52" s="840"/>
      <c r="B52" s="841"/>
      <c r="C52" s="841"/>
      <c r="D52" s="841"/>
      <c r="E52" s="841"/>
      <c r="F52" s="841"/>
      <c r="G52" s="841"/>
      <c r="H52" s="841"/>
      <c r="I52" s="841"/>
      <c r="J52" s="841"/>
      <c r="K52" s="841"/>
      <c r="L52" s="841"/>
      <c r="M52" s="841"/>
      <c r="N52" s="841"/>
      <c r="O52" s="841"/>
      <c r="P52" s="841"/>
      <c r="Q52" s="841"/>
      <c r="R52" s="841"/>
      <c r="S52" s="841"/>
      <c r="T52" s="841"/>
      <c r="U52" s="841"/>
      <c r="V52" s="841"/>
      <c r="W52" s="841"/>
      <c r="X52" s="841"/>
      <c r="Y52" s="841"/>
      <c r="Z52" s="841"/>
      <c r="AA52" s="841"/>
      <c r="AB52" s="841"/>
      <c r="AC52" s="841"/>
      <c r="AD52" s="841"/>
      <c r="AE52" s="841"/>
      <c r="AF52" s="841"/>
      <c r="AG52" s="841"/>
      <c r="AH52" s="841"/>
      <c r="AI52" s="841"/>
      <c r="AJ52" s="841"/>
      <c r="AK52" s="841"/>
      <c r="AL52" s="841"/>
      <c r="AM52" s="841"/>
      <c r="AN52" s="841"/>
      <c r="AO52" s="841"/>
      <c r="AP52" s="841"/>
      <c r="AQ52" s="841"/>
      <c r="AR52" s="841"/>
      <c r="AS52" s="841"/>
      <c r="AT52" s="841"/>
      <c r="AU52" s="841"/>
      <c r="AV52" s="841"/>
      <c r="AW52" s="843"/>
      <c r="AX52" s="843"/>
      <c r="AY52" s="843"/>
      <c r="AZ52" s="843"/>
      <c r="BA52" s="843"/>
      <c r="BB52" s="843"/>
      <c r="BC52" s="843"/>
      <c r="BD52" s="843"/>
      <c r="BE52" s="843"/>
      <c r="BF52" s="843"/>
      <c r="BG52" s="843"/>
      <c r="BH52" s="843"/>
      <c r="BI52" s="843"/>
    </row>
    <row r="53" spans="1:61" ht="49.5" customHeight="1" x14ac:dyDescent="0.4">
      <c r="A53" s="846"/>
      <c r="B53" s="823"/>
      <c r="C53" s="823"/>
      <c r="D53" s="823"/>
      <c r="E53" s="823"/>
      <c r="F53" s="823"/>
      <c r="G53" s="823"/>
      <c r="H53" s="823"/>
      <c r="I53" s="823"/>
      <c r="J53" s="823"/>
      <c r="K53" s="823"/>
      <c r="L53" s="823"/>
      <c r="M53" s="823"/>
      <c r="N53" s="846"/>
      <c r="O53" s="823"/>
      <c r="P53" s="823"/>
      <c r="Q53" s="823"/>
      <c r="R53" s="823"/>
      <c r="S53" s="823"/>
      <c r="T53" s="823"/>
      <c r="U53" s="823"/>
      <c r="V53" s="823"/>
      <c r="W53" s="823"/>
      <c r="X53" s="823"/>
      <c r="Y53" s="823"/>
      <c r="Z53" s="823"/>
      <c r="AA53" s="847"/>
      <c r="AB53" s="846"/>
      <c r="AC53" s="846"/>
      <c r="AD53" s="846"/>
      <c r="AE53" s="846"/>
      <c r="AF53" s="846"/>
      <c r="AG53" s="846"/>
      <c r="AH53" s="846"/>
      <c r="AI53" s="846"/>
      <c r="AJ53" s="846"/>
      <c r="AK53" s="846"/>
      <c r="AL53" s="846"/>
      <c r="AM53" s="846"/>
      <c r="AN53" s="847"/>
      <c r="AO53" s="846"/>
      <c r="AP53" s="846"/>
      <c r="AQ53" s="846"/>
      <c r="AR53" s="846"/>
      <c r="AS53" s="846"/>
      <c r="AT53" s="846"/>
      <c r="AU53" s="846"/>
      <c r="AV53" s="846"/>
      <c r="AW53" s="825"/>
      <c r="AX53" s="825"/>
      <c r="AY53" s="825"/>
      <c r="AZ53" s="825"/>
      <c r="BA53" s="825"/>
      <c r="BB53" s="825"/>
      <c r="BC53" s="825"/>
      <c r="BD53" s="825"/>
      <c r="BE53" s="825"/>
      <c r="BF53" s="825"/>
      <c r="BG53" s="825"/>
      <c r="BH53" s="825"/>
      <c r="BI53" s="825"/>
    </row>
    <row r="54" spans="1:61" ht="49.5" customHeight="1" x14ac:dyDescent="0.4">
      <c r="A54" s="846"/>
      <c r="B54" s="823"/>
      <c r="C54" s="823"/>
      <c r="D54" s="823"/>
      <c r="E54" s="823"/>
      <c r="F54" s="823"/>
      <c r="G54" s="823"/>
      <c r="H54" s="823"/>
      <c r="I54" s="823"/>
      <c r="J54" s="823"/>
      <c r="K54" s="823"/>
      <c r="L54" s="823"/>
      <c r="M54" s="823"/>
      <c r="N54" s="846"/>
      <c r="O54" s="823"/>
      <c r="P54" s="823"/>
      <c r="Q54" s="823"/>
      <c r="R54" s="823"/>
      <c r="S54" s="823"/>
      <c r="T54" s="823"/>
      <c r="U54" s="823"/>
      <c r="V54" s="823"/>
      <c r="W54" s="823"/>
      <c r="X54" s="823"/>
      <c r="Y54" s="823"/>
      <c r="Z54" s="823"/>
      <c r="AA54" s="847"/>
      <c r="AB54" s="846"/>
      <c r="AC54" s="846"/>
      <c r="AD54" s="846"/>
      <c r="AE54" s="846"/>
      <c r="AF54" s="846"/>
      <c r="AG54" s="846"/>
      <c r="AH54" s="846"/>
      <c r="AI54" s="846"/>
      <c r="AJ54" s="846"/>
      <c r="AK54" s="846"/>
      <c r="AL54" s="846"/>
      <c r="AM54" s="846"/>
      <c r="AN54" s="847"/>
      <c r="AO54" s="846"/>
      <c r="AP54" s="846"/>
      <c r="AQ54" s="846"/>
      <c r="AR54" s="846"/>
      <c r="AS54" s="846"/>
      <c r="AT54" s="846"/>
      <c r="AU54" s="846"/>
      <c r="AV54" s="846"/>
      <c r="AW54" s="825"/>
      <c r="AX54" s="825"/>
      <c r="AY54" s="825"/>
      <c r="AZ54" s="825"/>
      <c r="BA54" s="825"/>
      <c r="BB54" s="825"/>
      <c r="BC54" s="825"/>
      <c r="BD54" s="825"/>
      <c r="BE54" s="825"/>
      <c r="BF54" s="825"/>
      <c r="BG54" s="825"/>
      <c r="BH54" s="825"/>
      <c r="BI54" s="825"/>
    </row>
    <row r="55" spans="1:61" ht="49.5" customHeight="1" x14ac:dyDescent="0.4">
      <c r="A55" s="846"/>
      <c r="B55" s="823"/>
      <c r="C55" s="823"/>
      <c r="D55" s="823"/>
      <c r="E55" s="823"/>
      <c r="F55" s="823"/>
      <c r="G55" s="823"/>
      <c r="H55" s="823"/>
      <c r="I55" s="823"/>
      <c r="J55" s="823"/>
      <c r="K55" s="823"/>
      <c r="L55" s="823"/>
      <c r="M55" s="823"/>
      <c r="N55" s="846"/>
      <c r="O55" s="823"/>
      <c r="P55" s="823"/>
      <c r="Q55" s="823"/>
      <c r="R55" s="823"/>
      <c r="S55" s="823"/>
      <c r="T55" s="823"/>
      <c r="U55" s="823"/>
      <c r="V55" s="823"/>
      <c r="W55" s="823"/>
      <c r="X55" s="823"/>
      <c r="Y55" s="823"/>
      <c r="Z55" s="823"/>
      <c r="AA55" s="847"/>
      <c r="AB55" s="846"/>
      <c r="AC55" s="846"/>
      <c r="AD55" s="846"/>
      <c r="AE55" s="846"/>
      <c r="AF55" s="846"/>
      <c r="AG55" s="846"/>
      <c r="AH55" s="846"/>
      <c r="AI55" s="846"/>
      <c r="AJ55" s="846"/>
      <c r="AK55" s="846"/>
      <c r="AL55" s="846"/>
      <c r="AM55" s="846"/>
      <c r="AN55" s="847"/>
      <c r="AO55" s="846"/>
      <c r="AP55" s="846"/>
      <c r="AQ55" s="846"/>
      <c r="AR55" s="846"/>
      <c r="AS55" s="846"/>
      <c r="AT55" s="846"/>
      <c r="AU55" s="846"/>
      <c r="AV55" s="846"/>
      <c r="AW55" s="825"/>
      <c r="AX55" s="825"/>
      <c r="AY55" s="825"/>
      <c r="AZ55" s="825"/>
      <c r="BA55" s="825"/>
      <c r="BB55" s="825"/>
      <c r="BC55" s="825"/>
      <c r="BD55" s="825"/>
      <c r="BE55" s="825"/>
      <c r="BF55" s="825"/>
      <c r="BG55" s="825"/>
      <c r="BH55" s="825"/>
      <c r="BI55" s="825"/>
    </row>
    <row r="56" spans="1:61" ht="49.5" customHeight="1" x14ac:dyDescent="0.35">
      <c r="A56" s="822"/>
      <c r="B56" s="823"/>
      <c r="C56" s="823"/>
      <c r="D56" s="823"/>
      <c r="E56" s="823"/>
      <c r="F56" s="823"/>
      <c r="G56" s="823"/>
      <c r="H56" s="823"/>
      <c r="I56" s="823"/>
      <c r="J56" s="823"/>
      <c r="K56" s="823"/>
      <c r="L56" s="823"/>
      <c r="M56" s="823"/>
      <c r="N56" s="822"/>
      <c r="O56" s="823"/>
      <c r="P56" s="823"/>
      <c r="Q56" s="823"/>
      <c r="R56" s="823"/>
      <c r="S56" s="823"/>
      <c r="T56" s="823"/>
      <c r="U56" s="823"/>
      <c r="V56" s="823"/>
      <c r="W56" s="823"/>
      <c r="X56" s="823"/>
      <c r="Y56" s="823"/>
      <c r="Z56" s="823"/>
      <c r="AA56" s="824"/>
      <c r="AB56" s="822"/>
      <c r="AC56" s="822"/>
      <c r="AD56" s="822"/>
      <c r="AE56" s="822"/>
      <c r="AF56" s="822"/>
      <c r="AG56" s="822"/>
      <c r="AH56" s="822"/>
      <c r="AI56" s="822"/>
      <c r="AJ56" s="822"/>
      <c r="AK56" s="822"/>
      <c r="AL56" s="822"/>
      <c r="AM56" s="822"/>
      <c r="AN56" s="824"/>
      <c r="AO56" s="822"/>
      <c r="AP56" s="822"/>
      <c r="AQ56" s="822"/>
      <c r="AR56" s="822"/>
      <c r="AS56" s="822"/>
      <c r="AT56" s="822"/>
      <c r="AU56" s="822"/>
      <c r="AV56" s="822"/>
      <c r="AW56" s="825"/>
      <c r="AX56" s="825"/>
      <c r="AY56" s="825"/>
      <c r="AZ56" s="825"/>
      <c r="BA56" s="825"/>
      <c r="BB56" s="825"/>
      <c r="BC56" s="825"/>
      <c r="BD56" s="825"/>
      <c r="BE56" s="825"/>
      <c r="BF56" s="825"/>
      <c r="BG56" s="825"/>
      <c r="BH56" s="825"/>
      <c r="BI56" s="825"/>
    </row>
    <row r="57" spans="1:61" ht="49.5" customHeight="1" x14ac:dyDescent="0.3"/>
  </sheetData>
  <mergeCells count="19">
    <mergeCell ref="B5:E7"/>
    <mergeCell ref="F5:I7"/>
    <mergeCell ref="J5:M7"/>
    <mergeCell ref="O5:R7"/>
    <mergeCell ref="S5:V7"/>
    <mergeCell ref="A2:M2"/>
    <mergeCell ref="N2:Z2"/>
    <mergeCell ref="AA2:AM2"/>
    <mergeCell ref="AN2:AV2"/>
    <mergeCell ref="A3:M3"/>
    <mergeCell ref="N3:Z3"/>
    <mergeCell ref="AA3:AM3"/>
    <mergeCell ref="AN3:AV3"/>
    <mergeCell ref="AF5:AI7"/>
    <mergeCell ref="AJ5:AM7"/>
    <mergeCell ref="AO5:AR7"/>
    <mergeCell ref="AS5:AV7"/>
    <mergeCell ref="W5:Z7"/>
    <mergeCell ref="AB5:AE7"/>
  </mergeCells>
  <printOptions horizontalCentered="1" verticalCentered="1"/>
  <pageMargins left="0" right="0" top="0" bottom="0" header="0" footer="0"/>
  <pageSetup paperSize="9" scale="18" orientation="landscape" r:id="rId1"/>
  <headerFooter alignWithMargins="0">
    <oddHeader xml:space="preserve">&amp;R&amp;26
 6&amp;28. melléklet a 13/2023. (V.26.) önkormányzati rendelethez  </oddHeader>
    <oddFooter xml:space="preserve">&amp;C &amp;R
&amp;36 &amp;10
</oddFooter>
  </headerFooter>
  <colBreaks count="3" manualBreakCount="3">
    <brk id="13" max="53" man="1"/>
    <brk id="26" max="53" man="1"/>
    <brk id="39" max="5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293F3-2934-4799-9420-C2F8C6269937}">
  <dimension ref="A1:V58"/>
  <sheetViews>
    <sheetView zoomScale="50" zoomScaleNormal="50" zoomScaleSheetLayoutView="40" workbookViewId="0">
      <selection activeCell="C134" sqref="C134"/>
    </sheetView>
  </sheetViews>
  <sheetFormatPr defaultColWidth="12" defaultRowHeight="33.75" x14ac:dyDescent="0.5"/>
  <cols>
    <col min="1" max="1" width="151" style="852" customWidth="1"/>
    <col min="2" max="2" width="60.83203125" style="856" customWidth="1"/>
    <col min="3" max="3" width="50.5" style="856" customWidth="1"/>
    <col min="4" max="5" width="60.83203125" style="856" customWidth="1"/>
    <col min="6" max="6" width="60.6640625" style="856" customWidth="1"/>
    <col min="7" max="7" width="60.83203125" style="856" customWidth="1"/>
    <col min="8" max="8" width="12" style="856" customWidth="1"/>
    <col min="9" max="9" width="22.5" style="857" customWidth="1"/>
    <col min="10" max="256" width="12" style="856"/>
    <col min="257" max="257" width="151" style="856" customWidth="1"/>
    <col min="258" max="258" width="60.83203125" style="856" customWidth="1"/>
    <col min="259" max="259" width="50.5" style="856" customWidth="1"/>
    <col min="260" max="261" width="60.83203125" style="856" customWidth="1"/>
    <col min="262" max="262" width="60.6640625" style="856" customWidth="1"/>
    <col min="263" max="263" width="60.83203125" style="856" customWidth="1"/>
    <col min="264" max="264" width="12" style="856" customWidth="1"/>
    <col min="265" max="265" width="22.5" style="856" customWidth="1"/>
    <col min="266" max="512" width="12" style="856"/>
    <col min="513" max="513" width="151" style="856" customWidth="1"/>
    <col min="514" max="514" width="60.83203125" style="856" customWidth="1"/>
    <col min="515" max="515" width="50.5" style="856" customWidth="1"/>
    <col min="516" max="517" width="60.83203125" style="856" customWidth="1"/>
    <col min="518" max="518" width="60.6640625" style="856" customWidth="1"/>
    <col min="519" max="519" width="60.83203125" style="856" customWidth="1"/>
    <col min="520" max="520" width="12" style="856" customWidth="1"/>
    <col min="521" max="521" width="22.5" style="856" customWidth="1"/>
    <col min="522" max="768" width="12" style="856"/>
    <col min="769" max="769" width="151" style="856" customWidth="1"/>
    <col min="770" max="770" width="60.83203125" style="856" customWidth="1"/>
    <col min="771" max="771" width="50.5" style="856" customWidth="1"/>
    <col min="772" max="773" width="60.83203125" style="856" customWidth="1"/>
    <col min="774" max="774" width="60.6640625" style="856" customWidth="1"/>
    <col min="775" max="775" width="60.83203125" style="856" customWidth="1"/>
    <col min="776" max="776" width="12" style="856" customWidth="1"/>
    <col min="777" max="777" width="22.5" style="856" customWidth="1"/>
    <col min="778" max="1024" width="12" style="856"/>
    <col min="1025" max="1025" width="151" style="856" customWidth="1"/>
    <col min="1026" max="1026" width="60.83203125" style="856" customWidth="1"/>
    <col min="1027" max="1027" width="50.5" style="856" customWidth="1"/>
    <col min="1028" max="1029" width="60.83203125" style="856" customWidth="1"/>
    <col min="1030" max="1030" width="60.6640625" style="856" customWidth="1"/>
    <col min="1031" max="1031" width="60.83203125" style="856" customWidth="1"/>
    <col min="1032" max="1032" width="12" style="856" customWidth="1"/>
    <col min="1033" max="1033" width="22.5" style="856" customWidth="1"/>
    <col min="1034" max="1280" width="12" style="856"/>
    <col min="1281" max="1281" width="151" style="856" customWidth="1"/>
    <col min="1282" max="1282" width="60.83203125" style="856" customWidth="1"/>
    <col min="1283" max="1283" width="50.5" style="856" customWidth="1"/>
    <col min="1284" max="1285" width="60.83203125" style="856" customWidth="1"/>
    <col min="1286" max="1286" width="60.6640625" style="856" customWidth="1"/>
    <col min="1287" max="1287" width="60.83203125" style="856" customWidth="1"/>
    <col min="1288" max="1288" width="12" style="856" customWidth="1"/>
    <col min="1289" max="1289" width="22.5" style="856" customWidth="1"/>
    <col min="1290" max="1536" width="12" style="856"/>
    <col min="1537" max="1537" width="151" style="856" customWidth="1"/>
    <col min="1538" max="1538" width="60.83203125" style="856" customWidth="1"/>
    <col min="1539" max="1539" width="50.5" style="856" customWidth="1"/>
    <col min="1540" max="1541" width="60.83203125" style="856" customWidth="1"/>
    <col min="1542" max="1542" width="60.6640625" style="856" customWidth="1"/>
    <col min="1543" max="1543" width="60.83203125" style="856" customWidth="1"/>
    <col min="1544" max="1544" width="12" style="856" customWidth="1"/>
    <col min="1545" max="1545" width="22.5" style="856" customWidth="1"/>
    <col min="1546" max="1792" width="12" style="856"/>
    <col min="1793" max="1793" width="151" style="856" customWidth="1"/>
    <col min="1794" max="1794" width="60.83203125" style="856" customWidth="1"/>
    <col min="1795" max="1795" width="50.5" style="856" customWidth="1"/>
    <col min="1796" max="1797" width="60.83203125" style="856" customWidth="1"/>
    <col min="1798" max="1798" width="60.6640625" style="856" customWidth="1"/>
    <col min="1799" max="1799" width="60.83203125" style="856" customWidth="1"/>
    <col min="1800" max="1800" width="12" style="856" customWidth="1"/>
    <col min="1801" max="1801" width="22.5" style="856" customWidth="1"/>
    <col min="1802" max="2048" width="12" style="856"/>
    <col min="2049" max="2049" width="151" style="856" customWidth="1"/>
    <col min="2050" max="2050" width="60.83203125" style="856" customWidth="1"/>
    <col min="2051" max="2051" width="50.5" style="856" customWidth="1"/>
    <col min="2052" max="2053" width="60.83203125" style="856" customWidth="1"/>
    <col min="2054" max="2054" width="60.6640625" style="856" customWidth="1"/>
    <col min="2055" max="2055" width="60.83203125" style="856" customWidth="1"/>
    <col min="2056" max="2056" width="12" style="856" customWidth="1"/>
    <col min="2057" max="2057" width="22.5" style="856" customWidth="1"/>
    <col min="2058" max="2304" width="12" style="856"/>
    <col min="2305" max="2305" width="151" style="856" customWidth="1"/>
    <col min="2306" max="2306" width="60.83203125" style="856" customWidth="1"/>
    <col min="2307" max="2307" width="50.5" style="856" customWidth="1"/>
    <col min="2308" max="2309" width="60.83203125" style="856" customWidth="1"/>
    <col min="2310" max="2310" width="60.6640625" style="856" customWidth="1"/>
    <col min="2311" max="2311" width="60.83203125" style="856" customWidth="1"/>
    <col min="2312" max="2312" width="12" style="856" customWidth="1"/>
    <col min="2313" max="2313" width="22.5" style="856" customWidth="1"/>
    <col min="2314" max="2560" width="12" style="856"/>
    <col min="2561" max="2561" width="151" style="856" customWidth="1"/>
    <col min="2562" max="2562" width="60.83203125" style="856" customWidth="1"/>
    <col min="2563" max="2563" width="50.5" style="856" customWidth="1"/>
    <col min="2564" max="2565" width="60.83203125" style="856" customWidth="1"/>
    <col min="2566" max="2566" width="60.6640625" style="856" customWidth="1"/>
    <col min="2567" max="2567" width="60.83203125" style="856" customWidth="1"/>
    <col min="2568" max="2568" width="12" style="856" customWidth="1"/>
    <col min="2569" max="2569" width="22.5" style="856" customWidth="1"/>
    <col min="2570" max="2816" width="12" style="856"/>
    <col min="2817" max="2817" width="151" style="856" customWidth="1"/>
    <col min="2818" max="2818" width="60.83203125" style="856" customWidth="1"/>
    <col min="2819" max="2819" width="50.5" style="856" customWidth="1"/>
    <col min="2820" max="2821" width="60.83203125" style="856" customWidth="1"/>
    <col min="2822" max="2822" width="60.6640625" style="856" customWidth="1"/>
    <col min="2823" max="2823" width="60.83203125" style="856" customWidth="1"/>
    <col min="2824" max="2824" width="12" style="856" customWidth="1"/>
    <col min="2825" max="2825" width="22.5" style="856" customWidth="1"/>
    <col min="2826" max="3072" width="12" style="856"/>
    <col min="3073" max="3073" width="151" style="856" customWidth="1"/>
    <col min="3074" max="3074" width="60.83203125" style="856" customWidth="1"/>
    <col min="3075" max="3075" width="50.5" style="856" customWidth="1"/>
    <col min="3076" max="3077" width="60.83203125" style="856" customWidth="1"/>
    <col min="3078" max="3078" width="60.6640625" style="856" customWidth="1"/>
    <col min="3079" max="3079" width="60.83203125" style="856" customWidth="1"/>
    <col min="3080" max="3080" width="12" style="856" customWidth="1"/>
    <col min="3081" max="3081" width="22.5" style="856" customWidth="1"/>
    <col min="3082" max="3328" width="12" style="856"/>
    <col min="3329" max="3329" width="151" style="856" customWidth="1"/>
    <col min="3330" max="3330" width="60.83203125" style="856" customWidth="1"/>
    <col min="3331" max="3331" width="50.5" style="856" customWidth="1"/>
    <col min="3332" max="3333" width="60.83203125" style="856" customWidth="1"/>
    <col min="3334" max="3334" width="60.6640625" style="856" customWidth="1"/>
    <col min="3335" max="3335" width="60.83203125" style="856" customWidth="1"/>
    <col min="3336" max="3336" width="12" style="856" customWidth="1"/>
    <col min="3337" max="3337" width="22.5" style="856" customWidth="1"/>
    <col min="3338" max="3584" width="12" style="856"/>
    <col min="3585" max="3585" width="151" style="856" customWidth="1"/>
    <col min="3586" max="3586" width="60.83203125" style="856" customWidth="1"/>
    <col min="3587" max="3587" width="50.5" style="856" customWidth="1"/>
    <col min="3588" max="3589" width="60.83203125" style="856" customWidth="1"/>
    <col min="3590" max="3590" width="60.6640625" style="856" customWidth="1"/>
    <col min="3591" max="3591" width="60.83203125" style="856" customWidth="1"/>
    <col min="3592" max="3592" width="12" style="856" customWidth="1"/>
    <col min="3593" max="3593" width="22.5" style="856" customWidth="1"/>
    <col min="3594" max="3840" width="12" style="856"/>
    <col min="3841" max="3841" width="151" style="856" customWidth="1"/>
    <col min="3842" max="3842" width="60.83203125" style="856" customWidth="1"/>
    <col min="3843" max="3843" width="50.5" style="856" customWidth="1"/>
    <col min="3844" max="3845" width="60.83203125" style="856" customWidth="1"/>
    <col min="3846" max="3846" width="60.6640625" style="856" customWidth="1"/>
    <col min="3847" max="3847" width="60.83203125" style="856" customWidth="1"/>
    <col min="3848" max="3848" width="12" style="856" customWidth="1"/>
    <col min="3849" max="3849" width="22.5" style="856" customWidth="1"/>
    <col min="3850" max="4096" width="12" style="856"/>
    <col min="4097" max="4097" width="151" style="856" customWidth="1"/>
    <col min="4098" max="4098" width="60.83203125" style="856" customWidth="1"/>
    <col min="4099" max="4099" width="50.5" style="856" customWidth="1"/>
    <col min="4100" max="4101" width="60.83203125" style="856" customWidth="1"/>
    <col min="4102" max="4102" width="60.6640625" style="856" customWidth="1"/>
    <col min="4103" max="4103" width="60.83203125" style="856" customWidth="1"/>
    <col min="4104" max="4104" width="12" style="856" customWidth="1"/>
    <col min="4105" max="4105" width="22.5" style="856" customWidth="1"/>
    <col min="4106" max="4352" width="12" style="856"/>
    <col min="4353" max="4353" width="151" style="856" customWidth="1"/>
    <col min="4354" max="4354" width="60.83203125" style="856" customWidth="1"/>
    <col min="4355" max="4355" width="50.5" style="856" customWidth="1"/>
    <col min="4356" max="4357" width="60.83203125" style="856" customWidth="1"/>
    <col min="4358" max="4358" width="60.6640625" style="856" customWidth="1"/>
    <col min="4359" max="4359" width="60.83203125" style="856" customWidth="1"/>
    <col min="4360" max="4360" width="12" style="856" customWidth="1"/>
    <col min="4361" max="4361" width="22.5" style="856" customWidth="1"/>
    <col min="4362" max="4608" width="12" style="856"/>
    <col min="4609" max="4609" width="151" style="856" customWidth="1"/>
    <col min="4610" max="4610" width="60.83203125" style="856" customWidth="1"/>
    <col min="4611" max="4611" width="50.5" style="856" customWidth="1"/>
    <col min="4612" max="4613" width="60.83203125" style="856" customWidth="1"/>
    <col min="4614" max="4614" width="60.6640625" style="856" customWidth="1"/>
    <col min="4615" max="4615" width="60.83203125" style="856" customWidth="1"/>
    <col min="4616" max="4616" width="12" style="856" customWidth="1"/>
    <col min="4617" max="4617" width="22.5" style="856" customWidth="1"/>
    <col min="4618" max="4864" width="12" style="856"/>
    <col min="4865" max="4865" width="151" style="856" customWidth="1"/>
    <col min="4866" max="4866" width="60.83203125" style="856" customWidth="1"/>
    <col min="4867" max="4867" width="50.5" style="856" customWidth="1"/>
    <col min="4868" max="4869" width="60.83203125" style="856" customWidth="1"/>
    <col min="4870" max="4870" width="60.6640625" style="856" customWidth="1"/>
    <col min="4871" max="4871" width="60.83203125" style="856" customWidth="1"/>
    <col min="4872" max="4872" width="12" style="856" customWidth="1"/>
    <col min="4873" max="4873" width="22.5" style="856" customWidth="1"/>
    <col min="4874" max="5120" width="12" style="856"/>
    <col min="5121" max="5121" width="151" style="856" customWidth="1"/>
    <col min="5122" max="5122" width="60.83203125" style="856" customWidth="1"/>
    <col min="5123" max="5123" width="50.5" style="856" customWidth="1"/>
    <col min="5124" max="5125" width="60.83203125" style="856" customWidth="1"/>
    <col min="5126" max="5126" width="60.6640625" style="856" customWidth="1"/>
    <col min="5127" max="5127" width="60.83203125" style="856" customWidth="1"/>
    <col min="5128" max="5128" width="12" style="856" customWidth="1"/>
    <col min="5129" max="5129" width="22.5" style="856" customWidth="1"/>
    <col min="5130" max="5376" width="12" style="856"/>
    <col min="5377" max="5377" width="151" style="856" customWidth="1"/>
    <col min="5378" max="5378" width="60.83203125" style="856" customWidth="1"/>
    <col min="5379" max="5379" width="50.5" style="856" customWidth="1"/>
    <col min="5380" max="5381" width="60.83203125" style="856" customWidth="1"/>
    <col min="5382" max="5382" width="60.6640625" style="856" customWidth="1"/>
    <col min="5383" max="5383" width="60.83203125" style="856" customWidth="1"/>
    <col min="5384" max="5384" width="12" style="856" customWidth="1"/>
    <col min="5385" max="5385" width="22.5" style="856" customWidth="1"/>
    <col min="5386" max="5632" width="12" style="856"/>
    <col min="5633" max="5633" width="151" style="856" customWidth="1"/>
    <col min="5634" max="5634" width="60.83203125" style="856" customWidth="1"/>
    <col min="5635" max="5635" width="50.5" style="856" customWidth="1"/>
    <col min="5636" max="5637" width="60.83203125" style="856" customWidth="1"/>
    <col min="5638" max="5638" width="60.6640625" style="856" customWidth="1"/>
    <col min="5639" max="5639" width="60.83203125" style="856" customWidth="1"/>
    <col min="5640" max="5640" width="12" style="856" customWidth="1"/>
    <col min="5641" max="5641" width="22.5" style="856" customWidth="1"/>
    <col min="5642" max="5888" width="12" style="856"/>
    <col min="5889" max="5889" width="151" style="856" customWidth="1"/>
    <col min="5890" max="5890" width="60.83203125" style="856" customWidth="1"/>
    <col min="5891" max="5891" width="50.5" style="856" customWidth="1"/>
    <col min="5892" max="5893" width="60.83203125" style="856" customWidth="1"/>
    <col min="5894" max="5894" width="60.6640625" style="856" customWidth="1"/>
    <col min="5895" max="5895" width="60.83203125" style="856" customWidth="1"/>
    <col min="5896" max="5896" width="12" style="856" customWidth="1"/>
    <col min="5897" max="5897" width="22.5" style="856" customWidth="1"/>
    <col min="5898" max="6144" width="12" style="856"/>
    <col min="6145" max="6145" width="151" style="856" customWidth="1"/>
    <col min="6146" max="6146" width="60.83203125" style="856" customWidth="1"/>
    <col min="6147" max="6147" width="50.5" style="856" customWidth="1"/>
    <col min="6148" max="6149" width="60.83203125" style="856" customWidth="1"/>
    <col min="6150" max="6150" width="60.6640625" style="856" customWidth="1"/>
    <col min="6151" max="6151" width="60.83203125" style="856" customWidth="1"/>
    <col min="6152" max="6152" width="12" style="856" customWidth="1"/>
    <col min="6153" max="6153" width="22.5" style="856" customWidth="1"/>
    <col min="6154" max="6400" width="12" style="856"/>
    <col min="6401" max="6401" width="151" style="856" customWidth="1"/>
    <col min="6402" max="6402" width="60.83203125" style="856" customWidth="1"/>
    <col min="6403" max="6403" width="50.5" style="856" customWidth="1"/>
    <col min="6404" max="6405" width="60.83203125" style="856" customWidth="1"/>
    <col min="6406" max="6406" width="60.6640625" style="856" customWidth="1"/>
    <col min="6407" max="6407" width="60.83203125" style="856" customWidth="1"/>
    <col min="6408" max="6408" width="12" style="856" customWidth="1"/>
    <col min="6409" max="6409" width="22.5" style="856" customWidth="1"/>
    <col min="6410" max="6656" width="12" style="856"/>
    <col min="6657" max="6657" width="151" style="856" customWidth="1"/>
    <col min="6658" max="6658" width="60.83203125" style="856" customWidth="1"/>
    <col min="6659" max="6659" width="50.5" style="856" customWidth="1"/>
    <col min="6660" max="6661" width="60.83203125" style="856" customWidth="1"/>
    <col min="6662" max="6662" width="60.6640625" style="856" customWidth="1"/>
    <col min="6663" max="6663" width="60.83203125" style="856" customWidth="1"/>
    <col min="6664" max="6664" width="12" style="856" customWidth="1"/>
    <col min="6665" max="6665" width="22.5" style="856" customWidth="1"/>
    <col min="6666" max="6912" width="12" style="856"/>
    <col min="6913" max="6913" width="151" style="856" customWidth="1"/>
    <col min="6914" max="6914" width="60.83203125" style="856" customWidth="1"/>
    <col min="6915" max="6915" width="50.5" style="856" customWidth="1"/>
    <col min="6916" max="6917" width="60.83203125" style="856" customWidth="1"/>
    <col min="6918" max="6918" width="60.6640625" style="856" customWidth="1"/>
    <col min="6919" max="6919" width="60.83203125" style="856" customWidth="1"/>
    <col min="6920" max="6920" width="12" style="856" customWidth="1"/>
    <col min="6921" max="6921" width="22.5" style="856" customWidth="1"/>
    <col min="6922" max="7168" width="12" style="856"/>
    <col min="7169" max="7169" width="151" style="856" customWidth="1"/>
    <col min="7170" max="7170" width="60.83203125" style="856" customWidth="1"/>
    <col min="7171" max="7171" width="50.5" style="856" customWidth="1"/>
    <col min="7172" max="7173" width="60.83203125" style="856" customWidth="1"/>
    <col min="7174" max="7174" width="60.6640625" style="856" customWidth="1"/>
    <col min="7175" max="7175" width="60.83203125" style="856" customWidth="1"/>
    <col min="7176" max="7176" width="12" style="856" customWidth="1"/>
    <col min="7177" max="7177" width="22.5" style="856" customWidth="1"/>
    <col min="7178" max="7424" width="12" style="856"/>
    <col min="7425" max="7425" width="151" style="856" customWidth="1"/>
    <col min="7426" max="7426" width="60.83203125" style="856" customWidth="1"/>
    <col min="7427" max="7427" width="50.5" style="856" customWidth="1"/>
    <col min="7428" max="7429" width="60.83203125" style="856" customWidth="1"/>
    <col min="7430" max="7430" width="60.6640625" style="856" customWidth="1"/>
    <col min="7431" max="7431" width="60.83203125" style="856" customWidth="1"/>
    <col min="7432" max="7432" width="12" style="856" customWidth="1"/>
    <col min="7433" max="7433" width="22.5" style="856" customWidth="1"/>
    <col min="7434" max="7680" width="12" style="856"/>
    <col min="7681" max="7681" width="151" style="856" customWidth="1"/>
    <col min="7682" max="7682" width="60.83203125" style="856" customWidth="1"/>
    <col min="7683" max="7683" width="50.5" style="856" customWidth="1"/>
    <col min="7684" max="7685" width="60.83203125" style="856" customWidth="1"/>
    <col min="7686" max="7686" width="60.6640625" style="856" customWidth="1"/>
    <col min="7687" max="7687" width="60.83203125" style="856" customWidth="1"/>
    <col min="7688" max="7688" width="12" style="856" customWidth="1"/>
    <col min="7689" max="7689" width="22.5" style="856" customWidth="1"/>
    <col min="7690" max="7936" width="12" style="856"/>
    <col min="7937" max="7937" width="151" style="856" customWidth="1"/>
    <col min="7938" max="7938" width="60.83203125" style="856" customWidth="1"/>
    <col min="7939" max="7939" width="50.5" style="856" customWidth="1"/>
    <col min="7940" max="7941" width="60.83203125" style="856" customWidth="1"/>
    <col min="7942" max="7942" width="60.6640625" style="856" customWidth="1"/>
    <col min="7943" max="7943" width="60.83203125" style="856" customWidth="1"/>
    <col min="7944" max="7944" width="12" style="856" customWidth="1"/>
    <col min="7945" max="7945" width="22.5" style="856" customWidth="1"/>
    <col min="7946" max="8192" width="12" style="856"/>
    <col min="8193" max="8193" width="151" style="856" customWidth="1"/>
    <col min="8194" max="8194" width="60.83203125" style="856" customWidth="1"/>
    <col min="8195" max="8195" width="50.5" style="856" customWidth="1"/>
    <col min="8196" max="8197" width="60.83203125" style="856" customWidth="1"/>
    <col min="8198" max="8198" width="60.6640625" style="856" customWidth="1"/>
    <col min="8199" max="8199" width="60.83203125" style="856" customWidth="1"/>
    <col min="8200" max="8200" width="12" style="856" customWidth="1"/>
    <col min="8201" max="8201" width="22.5" style="856" customWidth="1"/>
    <col min="8202" max="8448" width="12" style="856"/>
    <col min="8449" max="8449" width="151" style="856" customWidth="1"/>
    <col min="8450" max="8450" width="60.83203125" style="856" customWidth="1"/>
    <col min="8451" max="8451" width="50.5" style="856" customWidth="1"/>
    <col min="8452" max="8453" width="60.83203125" style="856" customWidth="1"/>
    <col min="8454" max="8454" width="60.6640625" style="856" customWidth="1"/>
    <col min="8455" max="8455" width="60.83203125" style="856" customWidth="1"/>
    <col min="8456" max="8456" width="12" style="856" customWidth="1"/>
    <col min="8457" max="8457" width="22.5" style="856" customWidth="1"/>
    <col min="8458" max="8704" width="12" style="856"/>
    <col min="8705" max="8705" width="151" style="856" customWidth="1"/>
    <col min="8706" max="8706" width="60.83203125" style="856" customWidth="1"/>
    <col min="8707" max="8707" width="50.5" style="856" customWidth="1"/>
    <col min="8708" max="8709" width="60.83203125" style="856" customWidth="1"/>
    <col min="8710" max="8710" width="60.6640625" style="856" customWidth="1"/>
    <col min="8711" max="8711" width="60.83203125" style="856" customWidth="1"/>
    <col min="8712" max="8712" width="12" style="856" customWidth="1"/>
    <col min="8713" max="8713" width="22.5" style="856" customWidth="1"/>
    <col min="8714" max="8960" width="12" style="856"/>
    <col min="8961" max="8961" width="151" style="856" customWidth="1"/>
    <col min="8962" max="8962" width="60.83203125" style="856" customWidth="1"/>
    <col min="8963" max="8963" width="50.5" style="856" customWidth="1"/>
    <col min="8964" max="8965" width="60.83203125" style="856" customWidth="1"/>
    <col min="8966" max="8966" width="60.6640625" style="856" customWidth="1"/>
    <col min="8967" max="8967" width="60.83203125" style="856" customWidth="1"/>
    <col min="8968" max="8968" width="12" style="856" customWidth="1"/>
    <col min="8969" max="8969" width="22.5" style="856" customWidth="1"/>
    <col min="8970" max="9216" width="12" style="856"/>
    <col min="9217" max="9217" width="151" style="856" customWidth="1"/>
    <col min="9218" max="9218" width="60.83203125" style="856" customWidth="1"/>
    <col min="9219" max="9219" width="50.5" style="856" customWidth="1"/>
    <col min="9220" max="9221" width="60.83203125" style="856" customWidth="1"/>
    <col min="9222" max="9222" width="60.6640625" style="856" customWidth="1"/>
    <col min="9223" max="9223" width="60.83203125" style="856" customWidth="1"/>
    <col min="9224" max="9224" width="12" style="856" customWidth="1"/>
    <col min="9225" max="9225" width="22.5" style="856" customWidth="1"/>
    <col min="9226" max="9472" width="12" style="856"/>
    <col min="9473" max="9473" width="151" style="856" customWidth="1"/>
    <col min="9474" max="9474" width="60.83203125" style="856" customWidth="1"/>
    <col min="9475" max="9475" width="50.5" style="856" customWidth="1"/>
    <col min="9476" max="9477" width="60.83203125" style="856" customWidth="1"/>
    <col min="9478" max="9478" width="60.6640625" style="856" customWidth="1"/>
    <col min="9479" max="9479" width="60.83203125" style="856" customWidth="1"/>
    <col min="9480" max="9480" width="12" style="856" customWidth="1"/>
    <col min="9481" max="9481" width="22.5" style="856" customWidth="1"/>
    <col min="9482" max="9728" width="12" style="856"/>
    <col min="9729" max="9729" width="151" style="856" customWidth="1"/>
    <col min="9730" max="9730" width="60.83203125" style="856" customWidth="1"/>
    <col min="9731" max="9731" width="50.5" style="856" customWidth="1"/>
    <col min="9732" max="9733" width="60.83203125" style="856" customWidth="1"/>
    <col min="9734" max="9734" width="60.6640625" style="856" customWidth="1"/>
    <col min="9735" max="9735" width="60.83203125" style="856" customWidth="1"/>
    <col min="9736" max="9736" width="12" style="856" customWidth="1"/>
    <col min="9737" max="9737" width="22.5" style="856" customWidth="1"/>
    <col min="9738" max="9984" width="12" style="856"/>
    <col min="9985" max="9985" width="151" style="856" customWidth="1"/>
    <col min="9986" max="9986" width="60.83203125" style="856" customWidth="1"/>
    <col min="9987" max="9987" width="50.5" style="856" customWidth="1"/>
    <col min="9988" max="9989" width="60.83203125" style="856" customWidth="1"/>
    <col min="9990" max="9990" width="60.6640625" style="856" customWidth="1"/>
    <col min="9991" max="9991" width="60.83203125" style="856" customWidth="1"/>
    <col min="9992" max="9992" width="12" style="856" customWidth="1"/>
    <col min="9993" max="9993" width="22.5" style="856" customWidth="1"/>
    <col min="9994" max="10240" width="12" style="856"/>
    <col min="10241" max="10241" width="151" style="856" customWidth="1"/>
    <col min="10242" max="10242" width="60.83203125" style="856" customWidth="1"/>
    <col min="10243" max="10243" width="50.5" style="856" customWidth="1"/>
    <col min="10244" max="10245" width="60.83203125" style="856" customWidth="1"/>
    <col min="10246" max="10246" width="60.6640625" style="856" customWidth="1"/>
    <col min="10247" max="10247" width="60.83203125" style="856" customWidth="1"/>
    <col min="10248" max="10248" width="12" style="856" customWidth="1"/>
    <col min="10249" max="10249" width="22.5" style="856" customWidth="1"/>
    <col min="10250" max="10496" width="12" style="856"/>
    <col min="10497" max="10497" width="151" style="856" customWidth="1"/>
    <col min="10498" max="10498" width="60.83203125" style="856" customWidth="1"/>
    <col min="10499" max="10499" width="50.5" style="856" customWidth="1"/>
    <col min="10500" max="10501" width="60.83203125" style="856" customWidth="1"/>
    <col min="10502" max="10502" width="60.6640625" style="856" customWidth="1"/>
    <col min="10503" max="10503" width="60.83203125" style="856" customWidth="1"/>
    <col min="10504" max="10504" width="12" style="856" customWidth="1"/>
    <col min="10505" max="10505" width="22.5" style="856" customWidth="1"/>
    <col min="10506" max="10752" width="12" style="856"/>
    <col min="10753" max="10753" width="151" style="856" customWidth="1"/>
    <col min="10754" max="10754" width="60.83203125" style="856" customWidth="1"/>
    <col min="10755" max="10755" width="50.5" style="856" customWidth="1"/>
    <col min="10756" max="10757" width="60.83203125" style="856" customWidth="1"/>
    <col min="10758" max="10758" width="60.6640625" style="856" customWidth="1"/>
    <col min="10759" max="10759" width="60.83203125" style="856" customWidth="1"/>
    <col min="10760" max="10760" width="12" style="856" customWidth="1"/>
    <col min="10761" max="10761" width="22.5" style="856" customWidth="1"/>
    <col min="10762" max="11008" width="12" style="856"/>
    <col min="11009" max="11009" width="151" style="856" customWidth="1"/>
    <col min="11010" max="11010" width="60.83203125" style="856" customWidth="1"/>
    <col min="11011" max="11011" width="50.5" style="856" customWidth="1"/>
    <col min="11012" max="11013" width="60.83203125" style="856" customWidth="1"/>
    <col min="11014" max="11014" width="60.6640625" style="856" customWidth="1"/>
    <col min="11015" max="11015" width="60.83203125" style="856" customWidth="1"/>
    <col min="11016" max="11016" width="12" style="856" customWidth="1"/>
    <col min="11017" max="11017" width="22.5" style="856" customWidth="1"/>
    <col min="11018" max="11264" width="12" style="856"/>
    <col min="11265" max="11265" width="151" style="856" customWidth="1"/>
    <col min="11266" max="11266" width="60.83203125" style="856" customWidth="1"/>
    <col min="11267" max="11267" width="50.5" style="856" customWidth="1"/>
    <col min="11268" max="11269" width="60.83203125" style="856" customWidth="1"/>
    <col min="11270" max="11270" width="60.6640625" style="856" customWidth="1"/>
    <col min="11271" max="11271" width="60.83203125" style="856" customWidth="1"/>
    <col min="11272" max="11272" width="12" style="856" customWidth="1"/>
    <col min="11273" max="11273" width="22.5" style="856" customWidth="1"/>
    <col min="11274" max="11520" width="12" style="856"/>
    <col min="11521" max="11521" width="151" style="856" customWidth="1"/>
    <col min="11522" max="11522" width="60.83203125" style="856" customWidth="1"/>
    <col min="11523" max="11523" width="50.5" style="856" customWidth="1"/>
    <col min="11524" max="11525" width="60.83203125" style="856" customWidth="1"/>
    <col min="11526" max="11526" width="60.6640625" style="856" customWidth="1"/>
    <col min="11527" max="11527" width="60.83203125" style="856" customWidth="1"/>
    <col min="11528" max="11528" width="12" style="856" customWidth="1"/>
    <col min="11529" max="11529" width="22.5" style="856" customWidth="1"/>
    <col min="11530" max="11776" width="12" style="856"/>
    <col min="11777" max="11777" width="151" style="856" customWidth="1"/>
    <col min="11778" max="11778" width="60.83203125" style="856" customWidth="1"/>
    <col min="11779" max="11779" width="50.5" style="856" customWidth="1"/>
    <col min="11780" max="11781" width="60.83203125" style="856" customWidth="1"/>
    <col min="11782" max="11782" width="60.6640625" style="856" customWidth="1"/>
    <col min="11783" max="11783" width="60.83203125" style="856" customWidth="1"/>
    <col min="11784" max="11784" width="12" style="856" customWidth="1"/>
    <col min="11785" max="11785" width="22.5" style="856" customWidth="1"/>
    <col min="11786" max="12032" width="12" style="856"/>
    <col min="12033" max="12033" width="151" style="856" customWidth="1"/>
    <col min="12034" max="12034" width="60.83203125" style="856" customWidth="1"/>
    <col min="12035" max="12035" width="50.5" style="856" customWidth="1"/>
    <col min="12036" max="12037" width="60.83203125" style="856" customWidth="1"/>
    <col min="12038" max="12038" width="60.6640625" style="856" customWidth="1"/>
    <col min="12039" max="12039" width="60.83203125" style="856" customWidth="1"/>
    <col min="12040" max="12040" width="12" style="856" customWidth="1"/>
    <col min="12041" max="12041" width="22.5" style="856" customWidth="1"/>
    <col min="12042" max="12288" width="12" style="856"/>
    <col min="12289" max="12289" width="151" style="856" customWidth="1"/>
    <col min="12290" max="12290" width="60.83203125" style="856" customWidth="1"/>
    <col min="12291" max="12291" width="50.5" style="856" customWidth="1"/>
    <col min="12292" max="12293" width="60.83203125" style="856" customWidth="1"/>
    <col min="12294" max="12294" width="60.6640625" style="856" customWidth="1"/>
    <col min="12295" max="12295" width="60.83203125" style="856" customWidth="1"/>
    <col min="12296" max="12296" width="12" style="856" customWidth="1"/>
    <col min="12297" max="12297" width="22.5" style="856" customWidth="1"/>
    <col min="12298" max="12544" width="12" style="856"/>
    <col min="12545" max="12545" width="151" style="856" customWidth="1"/>
    <col min="12546" max="12546" width="60.83203125" style="856" customWidth="1"/>
    <col min="12547" max="12547" width="50.5" style="856" customWidth="1"/>
    <col min="12548" max="12549" width="60.83203125" style="856" customWidth="1"/>
    <col min="12550" max="12550" width="60.6640625" style="856" customWidth="1"/>
    <col min="12551" max="12551" width="60.83203125" style="856" customWidth="1"/>
    <col min="12552" max="12552" width="12" style="856" customWidth="1"/>
    <col min="12553" max="12553" width="22.5" style="856" customWidth="1"/>
    <col min="12554" max="12800" width="12" style="856"/>
    <col min="12801" max="12801" width="151" style="856" customWidth="1"/>
    <col min="12802" max="12802" width="60.83203125" style="856" customWidth="1"/>
    <col min="12803" max="12803" width="50.5" style="856" customWidth="1"/>
    <col min="12804" max="12805" width="60.83203125" style="856" customWidth="1"/>
    <col min="12806" max="12806" width="60.6640625" style="856" customWidth="1"/>
    <col min="12807" max="12807" width="60.83203125" style="856" customWidth="1"/>
    <col min="12808" max="12808" width="12" style="856" customWidth="1"/>
    <col min="12809" max="12809" width="22.5" style="856" customWidth="1"/>
    <col min="12810" max="13056" width="12" style="856"/>
    <col min="13057" max="13057" width="151" style="856" customWidth="1"/>
    <col min="13058" max="13058" width="60.83203125" style="856" customWidth="1"/>
    <col min="13059" max="13059" width="50.5" style="856" customWidth="1"/>
    <col min="13060" max="13061" width="60.83203125" style="856" customWidth="1"/>
    <col min="13062" max="13062" width="60.6640625" style="856" customWidth="1"/>
    <col min="13063" max="13063" width="60.83203125" style="856" customWidth="1"/>
    <col min="13064" max="13064" width="12" style="856" customWidth="1"/>
    <col min="13065" max="13065" width="22.5" style="856" customWidth="1"/>
    <col min="13066" max="13312" width="12" style="856"/>
    <col min="13313" max="13313" width="151" style="856" customWidth="1"/>
    <col min="13314" max="13314" width="60.83203125" style="856" customWidth="1"/>
    <col min="13315" max="13315" width="50.5" style="856" customWidth="1"/>
    <col min="13316" max="13317" width="60.83203125" style="856" customWidth="1"/>
    <col min="13318" max="13318" width="60.6640625" style="856" customWidth="1"/>
    <col min="13319" max="13319" width="60.83203125" style="856" customWidth="1"/>
    <col min="13320" max="13320" width="12" style="856" customWidth="1"/>
    <col min="13321" max="13321" width="22.5" style="856" customWidth="1"/>
    <col min="13322" max="13568" width="12" style="856"/>
    <col min="13569" max="13569" width="151" style="856" customWidth="1"/>
    <col min="13570" max="13570" width="60.83203125" style="856" customWidth="1"/>
    <col min="13571" max="13571" width="50.5" style="856" customWidth="1"/>
    <col min="13572" max="13573" width="60.83203125" style="856" customWidth="1"/>
    <col min="13574" max="13574" width="60.6640625" style="856" customWidth="1"/>
    <col min="13575" max="13575" width="60.83203125" style="856" customWidth="1"/>
    <col min="13576" max="13576" width="12" style="856" customWidth="1"/>
    <col min="13577" max="13577" width="22.5" style="856" customWidth="1"/>
    <col min="13578" max="13824" width="12" style="856"/>
    <col min="13825" max="13825" width="151" style="856" customWidth="1"/>
    <col min="13826" max="13826" width="60.83203125" style="856" customWidth="1"/>
    <col min="13827" max="13827" width="50.5" style="856" customWidth="1"/>
    <col min="13828" max="13829" width="60.83203125" style="856" customWidth="1"/>
    <col min="13830" max="13830" width="60.6640625" style="856" customWidth="1"/>
    <col min="13831" max="13831" width="60.83203125" style="856" customWidth="1"/>
    <col min="13832" max="13832" width="12" style="856" customWidth="1"/>
    <col min="13833" max="13833" width="22.5" style="856" customWidth="1"/>
    <col min="13834" max="14080" width="12" style="856"/>
    <col min="14081" max="14081" width="151" style="856" customWidth="1"/>
    <col min="14082" max="14082" width="60.83203125" style="856" customWidth="1"/>
    <col min="14083" max="14083" width="50.5" style="856" customWidth="1"/>
    <col min="14084" max="14085" width="60.83203125" style="856" customWidth="1"/>
    <col min="14086" max="14086" width="60.6640625" style="856" customWidth="1"/>
    <col min="14087" max="14087" width="60.83203125" style="856" customWidth="1"/>
    <col min="14088" max="14088" width="12" style="856" customWidth="1"/>
    <col min="14089" max="14089" width="22.5" style="856" customWidth="1"/>
    <col min="14090" max="14336" width="12" style="856"/>
    <col min="14337" max="14337" width="151" style="856" customWidth="1"/>
    <col min="14338" max="14338" width="60.83203125" style="856" customWidth="1"/>
    <col min="14339" max="14339" width="50.5" style="856" customWidth="1"/>
    <col min="14340" max="14341" width="60.83203125" style="856" customWidth="1"/>
    <col min="14342" max="14342" width="60.6640625" style="856" customWidth="1"/>
    <col min="14343" max="14343" width="60.83203125" style="856" customWidth="1"/>
    <col min="14344" max="14344" width="12" style="856" customWidth="1"/>
    <col min="14345" max="14345" width="22.5" style="856" customWidth="1"/>
    <col min="14346" max="14592" width="12" style="856"/>
    <col min="14593" max="14593" width="151" style="856" customWidth="1"/>
    <col min="14594" max="14594" width="60.83203125" style="856" customWidth="1"/>
    <col min="14595" max="14595" width="50.5" style="856" customWidth="1"/>
    <col min="14596" max="14597" width="60.83203125" style="856" customWidth="1"/>
    <col min="14598" max="14598" width="60.6640625" style="856" customWidth="1"/>
    <col min="14599" max="14599" width="60.83203125" style="856" customWidth="1"/>
    <col min="14600" max="14600" width="12" style="856" customWidth="1"/>
    <col min="14601" max="14601" width="22.5" style="856" customWidth="1"/>
    <col min="14602" max="14848" width="12" style="856"/>
    <col min="14849" max="14849" width="151" style="856" customWidth="1"/>
    <col min="14850" max="14850" width="60.83203125" style="856" customWidth="1"/>
    <col min="14851" max="14851" width="50.5" style="856" customWidth="1"/>
    <col min="14852" max="14853" width="60.83203125" style="856" customWidth="1"/>
    <col min="14854" max="14854" width="60.6640625" style="856" customWidth="1"/>
    <col min="14855" max="14855" width="60.83203125" style="856" customWidth="1"/>
    <col min="14856" max="14856" width="12" style="856" customWidth="1"/>
    <col min="14857" max="14857" width="22.5" style="856" customWidth="1"/>
    <col min="14858" max="15104" width="12" style="856"/>
    <col min="15105" max="15105" width="151" style="856" customWidth="1"/>
    <col min="15106" max="15106" width="60.83203125" style="856" customWidth="1"/>
    <col min="15107" max="15107" width="50.5" style="856" customWidth="1"/>
    <col min="15108" max="15109" width="60.83203125" style="856" customWidth="1"/>
    <col min="15110" max="15110" width="60.6640625" style="856" customWidth="1"/>
    <col min="15111" max="15111" width="60.83203125" style="856" customWidth="1"/>
    <col min="15112" max="15112" width="12" style="856" customWidth="1"/>
    <col min="15113" max="15113" width="22.5" style="856" customWidth="1"/>
    <col min="15114" max="15360" width="12" style="856"/>
    <col min="15361" max="15361" width="151" style="856" customWidth="1"/>
    <col min="15362" max="15362" width="60.83203125" style="856" customWidth="1"/>
    <col min="15363" max="15363" width="50.5" style="856" customWidth="1"/>
    <col min="15364" max="15365" width="60.83203125" style="856" customWidth="1"/>
    <col min="15366" max="15366" width="60.6640625" style="856" customWidth="1"/>
    <col min="15367" max="15367" width="60.83203125" style="856" customWidth="1"/>
    <col min="15368" max="15368" width="12" style="856" customWidth="1"/>
    <col min="15369" max="15369" width="22.5" style="856" customWidth="1"/>
    <col min="15370" max="15616" width="12" style="856"/>
    <col min="15617" max="15617" width="151" style="856" customWidth="1"/>
    <col min="15618" max="15618" width="60.83203125" style="856" customWidth="1"/>
    <col min="15619" max="15619" width="50.5" style="856" customWidth="1"/>
    <col min="15620" max="15621" width="60.83203125" style="856" customWidth="1"/>
    <col min="15622" max="15622" width="60.6640625" style="856" customWidth="1"/>
    <col min="15623" max="15623" width="60.83203125" style="856" customWidth="1"/>
    <col min="15624" max="15624" width="12" style="856" customWidth="1"/>
    <col min="15625" max="15625" width="22.5" style="856" customWidth="1"/>
    <col min="15626" max="15872" width="12" style="856"/>
    <col min="15873" max="15873" width="151" style="856" customWidth="1"/>
    <col min="15874" max="15874" width="60.83203125" style="856" customWidth="1"/>
    <col min="15875" max="15875" width="50.5" style="856" customWidth="1"/>
    <col min="15876" max="15877" width="60.83203125" style="856" customWidth="1"/>
    <col min="15878" max="15878" width="60.6640625" style="856" customWidth="1"/>
    <col min="15879" max="15879" width="60.83203125" style="856" customWidth="1"/>
    <col min="15880" max="15880" width="12" style="856" customWidth="1"/>
    <col min="15881" max="15881" width="22.5" style="856" customWidth="1"/>
    <col min="15882" max="16128" width="12" style="856"/>
    <col min="16129" max="16129" width="151" style="856" customWidth="1"/>
    <col min="16130" max="16130" width="60.83203125" style="856" customWidth="1"/>
    <col min="16131" max="16131" width="50.5" style="856" customWidth="1"/>
    <col min="16132" max="16133" width="60.83203125" style="856" customWidth="1"/>
    <col min="16134" max="16134" width="60.6640625" style="856" customWidth="1"/>
    <col min="16135" max="16135" width="60.83203125" style="856" customWidth="1"/>
    <col min="16136" max="16136" width="12" style="856" customWidth="1"/>
    <col min="16137" max="16137" width="22.5" style="856" customWidth="1"/>
    <col min="16138" max="16384" width="12" style="856"/>
  </cols>
  <sheetData>
    <row r="1" spans="1:9" s="852" customFormat="1" ht="45" customHeight="1" x14ac:dyDescent="0.5">
      <c r="A1" s="2056" t="s">
        <v>1256</v>
      </c>
      <c r="B1" s="2056"/>
      <c r="C1" s="2056"/>
      <c r="D1" s="2056"/>
      <c r="E1" s="2056"/>
      <c r="F1" s="2056"/>
      <c r="G1" s="2056"/>
      <c r="I1" s="853"/>
    </row>
    <row r="2" spans="1:9" s="852" customFormat="1" ht="44.25" customHeight="1" x14ac:dyDescent="0.5">
      <c r="A2" s="2056" t="s">
        <v>1257</v>
      </c>
      <c r="B2" s="2056"/>
      <c r="C2" s="2056"/>
      <c r="D2" s="2056"/>
      <c r="E2" s="2056"/>
      <c r="F2" s="2056"/>
      <c r="G2" s="2056"/>
      <c r="I2" s="853"/>
    </row>
    <row r="3" spans="1:9" ht="44.25" customHeight="1" thickBot="1" x14ac:dyDescent="0.55000000000000004">
      <c r="A3" s="854"/>
      <c r="B3" s="2057"/>
      <c r="C3" s="2057"/>
      <c r="D3" s="2057"/>
      <c r="E3" s="2057"/>
      <c r="F3" s="855"/>
      <c r="G3" s="855"/>
    </row>
    <row r="4" spans="1:9" s="852" customFormat="1" ht="108.75" customHeight="1" thickBot="1" x14ac:dyDescent="0.55000000000000004">
      <c r="A4" s="858"/>
      <c r="B4" s="2058" t="s">
        <v>1258</v>
      </c>
      <c r="C4" s="2059"/>
      <c r="D4" s="2059"/>
      <c r="E4" s="2060"/>
      <c r="F4" s="2061" t="s">
        <v>1259</v>
      </c>
      <c r="G4" s="2062"/>
      <c r="I4" s="859"/>
    </row>
    <row r="5" spans="1:9" s="852" customFormat="1" ht="45.75" customHeight="1" thickBot="1" x14ac:dyDescent="0.55000000000000004">
      <c r="A5" s="860" t="s">
        <v>1260</v>
      </c>
      <c r="B5" s="2065" t="s">
        <v>1261</v>
      </c>
      <c r="C5" s="2066"/>
      <c r="D5" s="2054" t="s">
        <v>1262</v>
      </c>
      <c r="E5" s="2067"/>
      <c r="F5" s="2063"/>
      <c r="G5" s="2064"/>
      <c r="I5" s="859"/>
    </row>
    <row r="6" spans="1:9" s="852" customFormat="1" ht="42" customHeight="1" thickBot="1" x14ac:dyDescent="0.55000000000000004">
      <c r="A6" s="860"/>
      <c r="B6" s="2054" t="s">
        <v>1263</v>
      </c>
      <c r="C6" s="2055"/>
      <c r="D6" s="2054" t="s">
        <v>1263</v>
      </c>
      <c r="E6" s="2055"/>
      <c r="F6" s="861"/>
      <c r="G6" s="861"/>
      <c r="I6" s="859"/>
    </row>
    <row r="7" spans="1:9" s="852" customFormat="1" ht="44.25" customHeight="1" thickBot="1" x14ac:dyDescent="0.55000000000000004">
      <c r="A7" s="862"/>
      <c r="B7" s="863" t="s">
        <v>1264</v>
      </c>
      <c r="C7" s="864" t="s">
        <v>1265</v>
      </c>
      <c r="D7" s="863" t="s">
        <v>1264</v>
      </c>
      <c r="E7" s="864" t="s">
        <v>1265</v>
      </c>
      <c r="F7" s="861" t="s">
        <v>1264</v>
      </c>
      <c r="G7" s="861" t="s">
        <v>1266</v>
      </c>
      <c r="I7" s="859"/>
    </row>
    <row r="8" spans="1:9" s="868" customFormat="1" ht="90.75" customHeight="1" x14ac:dyDescent="0.5">
      <c r="A8" s="865" t="s">
        <v>1267</v>
      </c>
      <c r="B8" s="866"/>
      <c r="C8" s="867"/>
      <c r="D8" s="867"/>
      <c r="E8" s="867"/>
      <c r="F8" s="867"/>
      <c r="G8" s="867"/>
      <c r="I8" s="869"/>
    </row>
    <row r="9" spans="1:9" s="876" customFormat="1" ht="45.75" customHeight="1" x14ac:dyDescent="0.55000000000000004">
      <c r="A9" s="870" t="s">
        <v>1213</v>
      </c>
      <c r="B9" s="871">
        <f>'[6]létszám ei mód RM III.'!F9</f>
        <v>33</v>
      </c>
      <c r="C9" s="872">
        <f>'[6]létszám ei mód RM III.'!G9</f>
        <v>33</v>
      </c>
      <c r="D9" s="873">
        <f>'[6]létszám ei mód RM III.'!L9</f>
        <v>1</v>
      </c>
      <c r="E9" s="872">
        <f>'[6]létszám ei mód RM III.'!M9</f>
        <v>1</v>
      </c>
      <c r="F9" s="874">
        <f t="shared" ref="F9:G26" si="0">B9+D9</f>
        <v>34</v>
      </c>
      <c r="G9" s="875">
        <f t="shared" si="0"/>
        <v>34</v>
      </c>
      <c r="I9" s="857"/>
    </row>
    <row r="10" spans="1:9" s="876" customFormat="1" ht="45.75" customHeight="1" x14ac:dyDescent="0.55000000000000004">
      <c r="A10" s="877" t="s">
        <v>1214</v>
      </c>
      <c r="B10" s="878">
        <f>'[6]létszám ei mód RM III.'!F10</f>
        <v>23</v>
      </c>
      <c r="C10" s="879">
        <f>'[6]létszám ei mód RM III.'!G10</f>
        <v>23</v>
      </c>
      <c r="D10" s="878">
        <f>'[6]létszám ei mód RM III.'!L10</f>
        <v>1</v>
      </c>
      <c r="E10" s="879">
        <f>'[6]létszám ei mód RM III.'!M10</f>
        <v>1</v>
      </c>
      <c r="F10" s="880">
        <f t="shared" si="0"/>
        <v>24</v>
      </c>
      <c r="G10" s="881">
        <f t="shared" si="0"/>
        <v>24</v>
      </c>
      <c r="I10" s="857"/>
    </row>
    <row r="11" spans="1:9" s="876" customFormat="1" ht="45.75" customHeight="1" x14ac:dyDescent="0.55000000000000004">
      <c r="A11" s="877" t="s">
        <v>1215</v>
      </c>
      <c r="B11" s="871">
        <f>'[6]létszám ei mód RM III.'!F11</f>
        <v>23</v>
      </c>
      <c r="C11" s="872">
        <f>'[6]létszám ei mód RM III.'!G11</f>
        <v>23</v>
      </c>
      <c r="D11" s="873">
        <f>'[6]létszám ei mód RM III.'!L11</f>
        <v>1</v>
      </c>
      <c r="E11" s="872">
        <f>'[6]létszám ei mód RM III.'!M11</f>
        <v>1</v>
      </c>
      <c r="F11" s="874">
        <f t="shared" si="0"/>
        <v>24</v>
      </c>
      <c r="G11" s="875">
        <f t="shared" si="0"/>
        <v>24</v>
      </c>
      <c r="I11" s="857"/>
    </row>
    <row r="12" spans="1:9" s="876" customFormat="1" ht="45.75" customHeight="1" x14ac:dyDescent="0.55000000000000004">
      <c r="A12" s="877" t="s">
        <v>1216</v>
      </c>
      <c r="B12" s="878">
        <f>'[6]létszám ei mód RM III.'!F12</f>
        <v>28</v>
      </c>
      <c r="C12" s="879">
        <f>'[6]létszám ei mód RM III.'!G12</f>
        <v>28</v>
      </c>
      <c r="D12" s="878">
        <f>'[6]létszám ei mód RM III.'!L12</f>
        <v>1</v>
      </c>
      <c r="E12" s="879">
        <f>'[6]létszám ei mód RM III.'!M12</f>
        <v>1</v>
      </c>
      <c r="F12" s="880">
        <f t="shared" si="0"/>
        <v>29</v>
      </c>
      <c r="G12" s="881">
        <f t="shared" si="0"/>
        <v>29</v>
      </c>
      <c r="I12" s="857"/>
    </row>
    <row r="13" spans="1:9" s="876" customFormat="1" ht="45.75" customHeight="1" x14ac:dyDescent="0.55000000000000004">
      <c r="A13" s="877" t="s">
        <v>1217</v>
      </c>
      <c r="B13" s="878">
        <f>'[6]létszám ei mód RM III.'!F13</f>
        <v>26</v>
      </c>
      <c r="C13" s="879">
        <f>'[6]létszám ei mód RM III.'!G13</f>
        <v>26</v>
      </c>
      <c r="D13" s="878">
        <f>'[6]létszám ei mód RM III.'!L13</f>
        <v>1</v>
      </c>
      <c r="E13" s="879">
        <f>'[6]létszám ei mód RM III.'!M13</f>
        <v>1</v>
      </c>
      <c r="F13" s="880">
        <f t="shared" si="0"/>
        <v>27</v>
      </c>
      <c r="G13" s="881">
        <f t="shared" si="0"/>
        <v>27</v>
      </c>
      <c r="I13" s="857"/>
    </row>
    <row r="14" spans="1:9" s="876" customFormat="1" ht="45.75" customHeight="1" x14ac:dyDescent="0.55000000000000004">
      <c r="A14" s="877" t="s">
        <v>1218</v>
      </c>
      <c r="B14" s="878">
        <f>'[6]létszám ei mód RM III.'!F14</f>
        <v>23</v>
      </c>
      <c r="C14" s="879">
        <f>'[6]létszám ei mód RM III.'!G14</f>
        <v>23</v>
      </c>
      <c r="D14" s="878">
        <f>'[6]létszám ei mód RM III.'!L14</f>
        <v>1</v>
      </c>
      <c r="E14" s="879">
        <f>'[6]létszám ei mód RM III.'!M14</f>
        <v>1</v>
      </c>
      <c r="F14" s="880">
        <f t="shared" si="0"/>
        <v>24</v>
      </c>
      <c r="G14" s="881">
        <f t="shared" si="0"/>
        <v>24</v>
      </c>
      <c r="I14" s="857"/>
    </row>
    <row r="15" spans="1:9" s="876" customFormat="1" ht="45.75" customHeight="1" x14ac:dyDescent="0.55000000000000004">
      <c r="A15" s="877" t="s">
        <v>1219</v>
      </c>
      <c r="B15" s="878">
        <f>'[6]létszám ei mód RM III.'!F15</f>
        <v>18</v>
      </c>
      <c r="C15" s="879">
        <f>'[6]létszám ei mód RM III.'!G15</f>
        <v>18</v>
      </c>
      <c r="D15" s="878">
        <f>'[6]létszám ei mód RM III.'!L15</f>
        <v>1</v>
      </c>
      <c r="E15" s="879">
        <f>'[6]létszám ei mód RM III.'!M15</f>
        <v>1</v>
      </c>
      <c r="F15" s="880">
        <f t="shared" si="0"/>
        <v>19</v>
      </c>
      <c r="G15" s="881">
        <f t="shared" si="0"/>
        <v>19</v>
      </c>
      <c r="I15" s="857"/>
    </row>
    <row r="16" spans="1:9" s="876" customFormat="1" ht="45.75" customHeight="1" x14ac:dyDescent="0.55000000000000004">
      <c r="A16" s="877" t="s">
        <v>1220</v>
      </c>
      <c r="B16" s="878">
        <f>'[6]létszám ei mód RM III.'!F16</f>
        <v>18</v>
      </c>
      <c r="C16" s="879">
        <f>'[6]létszám ei mód RM III.'!G16</f>
        <v>18</v>
      </c>
      <c r="D16" s="878">
        <f>'[6]létszám ei mód RM III.'!L16</f>
        <v>1</v>
      </c>
      <c r="E16" s="879">
        <f>'[6]létszám ei mód RM III.'!M16</f>
        <v>1</v>
      </c>
      <c r="F16" s="880">
        <f t="shared" si="0"/>
        <v>19</v>
      </c>
      <c r="G16" s="881">
        <f t="shared" si="0"/>
        <v>19</v>
      </c>
      <c r="I16" s="857"/>
    </row>
    <row r="17" spans="1:9" s="876" customFormat="1" ht="45.75" customHeight="1" x14ac:dyDescent="0.55000000000000004">
      <c r="A17" s="877" t="s">
        <v>1221</v>
      </c>
      <c r="B17" s="878">
        <f>'[6]létszám ei mód RM III.'!F17</f>
        <v>27</v>
      </c>
      <c r="C17" s="879">
        <f>'[6]létszám ei mód RM III.'!G17</f>
        <v>27</v>
      </c>
      <c r="D17" s="878">
        <f>'[6]létszám ei mód RM III.'!L17</f>
        <v>1</v>
      </c>
      <c r="E17" s="879">
        <f>'[6]létszám ei mód RM III.'!M17</f>
        <v>1</v>
      </c>
      <c r="F17" s="880">
        <f t="shared" si="0"/>
        <v>28</v>
      </c>
      <c r="G17" s="881">
        <f t="shared" si="0"/>
        <v>28</v>
      </c>
      <c r="I17" s="857"/>
    </row>
    <row r="18" spans="1:9" s="876" customFormat="1" ht="45.75" customHeight="1" x14ac:dyDescent="0.55000000000000004">
      <c r="A18" s="877" t="s">
        <v>1222</v>
      </c>
      <c r="B18" s="878">
        <f>'[6]létszám ei mód RM III.'!F18</f>
        <v>29</v>
      </c>
      <c r="C18" s="879">
        <f>'[6]létszám ei mód RM III.'!G18</f>
        <v>29</v>
      </c>
      <c r="D18" s="878">
        <f>'[6]létszám ei mód RM III.'!L18</f>
        <v>1</v>
      </c>
      <c r="E18" s="879">
        <f>'[6]létszám ei mód RM III.'!M18</f>
        <v>1</v>
      </c>
      <c r="F18" s="880">
        <f t="shared" si="0"/>
        <v>30</v>
      </c>
      <c r="G18" s="881">
        <f t="shared" si="0"/>
        <v>30</v>
      </c>
      <c r="I18" s="857"/>
    </row>
    <row r="19" spans="1:9" s="876" customFormat="1" ht="45.75" customHeight="1" x14ac:dyDescent="0.55000000000000004">
      <c r="A19" s="877" t="s">
        <v>1223</v>
      </c>
      <c r="B19" s="878">
        <f>'[6]létszám ei mód RM III.'!F19</f>
        <v>15</v>
      </c>
      <c r="C19" s="879">
        <f>'[6]létszám ei mód RM III.'!G19</f>
        <v>15</v>
      </c>
      <c r="D19" s="878">
        <f>'[6]létszám ei mód RM III.'!L19</f>
        <v>1</v>
      </c>
      <c r="E19" s="879">
        <f>'[6]létszám ei mód RM III.'!M19</f>
        <v>1</v>
      </c>
      <c r="F19" s="880">
        <f t="shared" si="0"/>
        <v>16</v>
      </c>
      <c r="G19" s="881">
        <f t="shared" si="0"/>
        <v>16</v>
      </c>
      <c r="I19" s="857"/>
    </row>
    <row r="20" spans="1:9" s="876" customFormat="1" ht="45.75" customHeight="1" x14ac:dyDescent="0.55000000000000004">
      <c r="A20" s="877" t="s">
        <v>1224</v>
      </c>
      <c r="B20" s="878">
        <f>'[6]létszám ei mód RM III.'!F20</f>
        <v>12.5</v>
      </c>
      <c r="C20" s="879">
        <f>'[6]létszám ei mód RM III.'!G20</f>
        <v>12</v>
      </c>
      <c r="D20" s="878">
        <f>'[6]létszám ei mód RM III.'!L20</f>
        <v>1</v>
      </c>
      <c r="E20" s="879">
        <f>'[6]létszám ei mód RM III.'!M20</f>
        <v>1</v>
      </c>
      <c r="F20" s="880">
        <f t="shared" si="0"/>
        <v>13.5</v>
      </c>
      <c r="G20" s="881">
        <f t="shared" si="0"/>
        <v>13</v>
      </c>
      <c r="I20" s="857"/>
    </row>
    <row r="21" spans="1:9" s="876" customFormat="1" ht="45.75" customHeight="1" x14ac:dyDescent="0.55000000000000004">
      <c r="A21" s="877" t="s">
        <v>1225</v>
      </c>
      <c r="B21" s="878">
        <f>'[6]létszám ei mód RM III.'!F21</f>
        <v>18</v>
      </c>
      <c r="C21" s="879">
        <f>'[6]létszám ei mód RM III.'!G21</f>
        <v>18</v>
      </c>
      <c r="D21" s="878">
        <f>'[6]létszám ei mód RM III.'!L21</f>
        <v>1</v>
      </c>
      <c r="E21" s="879">
        <f>'[6]létszám ei mód RM III.'!M21</f>
        <v>1</v>
      </c>
      <c r="F21" s="880">
        <f t="shared" si="0"/>
        <v>19</v>
      </c>
      <c r="G21" s="881">
        <f t="shared" si="0"/>
        <v>19</v>
      </c>
      <c r="I21" s="857"/>
    </row>
    <row r="22" spans="1:9" s="876" customFormat="1" ht="45.75" customHeight="1" x14ac:dyDescent="0.55000000000000004">
      <c r="A22" s="877" t="s">
        <v>1226</v>
      </c>
      <c r="B22" s="878">
        <f>'[6]létszám ei mód RM III.'!F22</f>
        <v>20</v>
      </c>
      <c r="C22" s="879">
        <f>'[6]létszám ei mód RM III.'!G22</f>
        <v>20</v>
      </c>
      <c r="D22" s="878">
        <f>'[6]létszám ei mód RM III.'!L22</f>
        <v>1</v>
      </c>
      <c r="E22" s="879">
        <f>'[6]létszám ei mód RM III.'!M22</f>
        <v>1</v>
      </c>
      <c r="F22" s="880">
        <f t="shared" si="0"/>
        <v>21</v>
      </c>
      <c r="G22" s="881">
        <f t="shared" si="0"/>
        <v>21</v>
      </c>
      <c r="I22" s="857"/>
    </row>
    <row r="23" spans="1:9" s="876" customFormat="1" ht="45.75" customHeight="1" x14ac:dyDescent="0.55000000000000004">
      <c r="A23" s="877" t="s">
        <v>1227</v>
      </c>
      <c r="B23" s="878">
        <f>'[6]létszám ei mód RM III.'!F23</f>
        <v>30</v>
      </c>
      <c r="C23" s="879">
        <f>'[6]létszám ei mód RM III.'!G23</f>
        <v>30</v>
      </c>
      <c r="D23" s="878">
        <f>'[6]létszám ei mód RM III.'!L23</f>
        <v>1</v>
      </c>
      <c r="E23" s="879">
        <f>'[6]létszám ei mód RM III.'!M23</f>
        <v>1</v>
      </c>
      <c r="F23" s="880">
        <f t="shared" si="0"/>
        <v>31</v>
      </c>
      <c r="G23" s="881">
        <f t="shared" si="0"/>
        <v>31</v>
      </c>
      <c r="I23" s="857"/>
    </row>
    <row r="24" spans="1:9" s="876" customFormat="1" ht="45.75" customHeight="1" x14ac:dyDescent="0.55000000000000004">
      <c r="A24" s="877" t="s">
        <v>1254</v>
      </c>
      <c r="B24" s="878">
        <f>'[6]létszám ei mód RM III.'!F24</f>
        <v>23</v>
      </c>
      <c r="C24" s="879">
        <f>'[6]létszám ei mód RM III.'!G24</f>
        <v>23</v>
      </c>
      <c r="D24" s="878">
        <f>'[6]létszám ei mód RM III.'!L24</f>
        <v>1</v>
      </c>
      <c r="E24" s="879">
        <f>'[6]létszám ei mód RM III.'!M24</f>
        <v>1</v>
      </c>
      <c r="F24" s="880">
        <f t="shared" si="0"/>
        <v>24</v>
      </c>
      <c r="G24" s="881">
        <f t="shared" si="0"/>
        <v>24</v>
      </c>
      <c r="I24" s="857"/>
    </row>
    <row r="25" spans="1:9" s="876" customFormat="1" ht="45.75" customHeight="1" x14ac:dyDescent="0.55000000000000004">
      <c r="A25" s="870" t="s">
        <v>1229</v>
      </c>
      <c r="B25" s="878">
        <f>'[6]létszám ei mód RM III.'!F25</f>
        <v>16</v>
      </c>
      <c r="C25" s="879">
        <f>'[6]létszám ei mód RM III.'!G25</f>
        <v>16</v>
      </c>
      <c r="D25" s="878">
        <f>'[6]létszám ei mód RM III.'!L25</f>
        <v>1</v>
      </c>
      <c r="E25" s="879">
        <f>'[6]létszám ei mód RM III.'!M25</f>
        <v>1</v>
      </c>
      <c r="F25" s="880">
        <f t="shared" si="0"/>
        <v>17</v>
      </c>
      <c r="G25" s="881">
        <f t="shared" si="0"/>
        <v>17</v>
      </c>
      <c r="I25" s="857"/>
    </row>
    <row r="26" spans="1:9" s="876" customFormat="1" ht="45.75" customHeight="1" thickBot="1" x14ac:dyDescent="0.6">
      <c r="A26" s="882" t="s">
        <v>1230</v>
      </c>
      <c r="B26" s="871">
        <f>'[6]létszám ei mód RM III.'!F26</f>
        <v>11.5</v>
      </c>
      <c r="C26" s="872">
        <f>'[6]létszám ei mód RM III.'!G26</f>
        <v>12</v>
      </c>
      <c r="D26" s="873">
        <f>'[6]létszám ei mód RM III.'!L26</f>
        <v>1.5</v>
      </c>
      <c r="E26" s="872">
        <f>'[6]létszám ei mód RM III.'!M26</f>
        <v>1</v>
      </c>
      <c r="F26" s="874">
        <f t="shared" si="0"/>
        <v>13</v>
      </c>
      <c r="G26" s="875">
        <f t="shared" si="0"/>
        <v>13</v>
      </c>
      <c r="I26" s="857"/>
    </row>
    <row r="27" spans="1:9" s="876" customFormat="1" ht="45.75" customHeight="1" thickBot="1" x14ac:dyDescent="0.6">
      <c r="A27" s="883" t="s">
        <v>1268</v>
      </c>
      <c r="B27" s="884">
        <f t="shared" ref="B27:G27" si="1">SUM(B9:B26)</f>
        <v>394</v>
      </c>
      <c r="C27" s="885">
        <f t="shared" si="1"/>
        <v>394</v>
      </c>
      <c r="D27" s="884">
        <f t="shared" si="1"/>
        <v>18.5</v>
      </c>
      <c r="E27" s="885">
        <f t="shared" si="1"/>
        <v>18</v>
      </c>
      <c r="F27" s="884">
        <f t="shared" si="1"/>
        <v>412.5</v>
      </c>
      <c r="G27" s="885">
        <f t="shared" si="1"/>
        <v>412</v>
      </c>
      <c r="I27" s="857"/>
    </row>
    <row r="28" spans="1:9" s="876" customFormat="1" ht="44.25" customHeight="1" thickBot="1" x14ac:dyDescent="0.6">
      <c r="A28" s="886" t="s">
        <v>136</v>
      </c>
      <c r="B28" s="871">
        <f>'[6]létszám ei mód RM III.'!F28</f>
        <v>0</v>
      </c>
      <c r="C28" s="872">
        <f>'[6]létszám ei mód RM III.'!G28</f>
        <v>0</v>
      </c>
      <c r="D28" s="873">
        <f>'[6]létszám ei mód RM III.'!L28</f>
        <v>44</v>
      </c>
      <c r="E28" s="872">
        <f>'[6]létszám ei mód RM III.'!M28</f>
        <v>44</v>
      </c>
      <c r="F28" s="874">
        <f>B28+D28</f>
        <v>44</v>
      </c>
      <c r="G28" s="875">
        <f>C28+E28</f>
        <v>44</v>
      </c>
      <c r="I28" s="857"/>
    </row>
    <row r="29" spans="1:9" s="876" customFormat="1" ht="42.75" customHeight="1" thickBot="1" x14ac:dyDescent="0.6">
      <c r="A29" s="883" t="s">
        <v>1269</v>
      </c>
      <c r="B29" s="884">
        <f t="shared" ref="B29:G29" si="2">SUM(B27:B28)</f>
        <v>394</v>
      </c>
      <c r="C29" s="887">
        <f t="shared" si="2"/>
        <v>394</v>
      </c>
      <c r="D29" s="884">
        <f t="shared" si="2"/>
        <v>62.5</v>
      </c>
      <c r="E29" s="887">
        <f t="shared" si="2"/>
        <v>62</v>
      </c>
      <c r="F29" s="884">
        <f t="shared" si="2"/>
        <v>456.5</v>
      </c>
      <c r="G29" s="887">
        <f t="shared" si="2"/>
        <v>456</v>
      </c>
      <c r="I29" s="857"/>
    </row>
    <row r="30" spans="1:9" s="876" customFormat="1" ht="42.75" customHeight="1" x14ac:dyDescent="0.55000000000000004">
      <c r="A30" s="888" t="s">
        <v>1233</v>
      </c>
      <c r="B30" s="874"/>
      <c r="C30" s="874"/>
      <c r="D30" s="874"/>
      <c r="E30" s="874"/>
      <c r="F30" s="874"/>
      <c r="G30" s="874"/>
      <c r="I30" s="857"/>
    </row>
    <row r="31" spans="1:9" s="876" customFormat="1" ht="45.75" customHeight="1" x14ac:dyDescent="0.55000000000000004">
      <c r="A31" s="865" t="s">
        <v>1270</v>
      </c>
      <c r="B31" s="874"/>
      <c r="C31" s="874"/>
      <c r="D31" s="874"/>
      <c r="E31" s="874"/>
      <c r="F31" s="874"/>
      <c r="G31" s="874"/>
      <c r="I31" s="857"/>
    </row>
    <row r="32" spans="1:9" s="876" customFormat="1" ht="44.25" customHeight="1" x14ac:dyDescent="0.55000000000000004">
      <c r="A32" s="889" t="s">
        <v>233</v>
      </c>
      <c r="B32" s="873">
        <f>'[6]létszám ei mód RM III.'!F32</f>
        <v>18</v>
      </c>
      <c r="C32" s="872">
        <f>'[6]létszám ei mód RM III.'!G32</f>
        <v>18</v>
      </c>
      <c r="D32" s="873">
        <f>'[6]létszám ei mód RM III.'!L32</f>
        <v>1.5</v>
      </c>
      <c r="E32" s="872">
        <f>'[6]létszám ei mód RM III.'!M32</f>
        <v>2</v>
      </c>
      <c r="F32" s="874">
        <f t="shared" ref="F32:G35" si="3">B32+D32</f>
        <v>19.5</v>
      </c>
      <c r="G32" s="875">
        <f t="shared" si="3"/>
        <v>20</v>
      </c>
      <c r="I32" s="857"/>
    </row>
    <row r="33" spans="1:9" s="876" customFormat="1" ht="44.25" customHeight="1" x14ac:dyDescent="0.55000000000000004">
      <c r="A33" s="877" t="s">
        <v>1235</v>
      </c>
      <c r="B33" s="890">
        <f>'[6]létszám ei mód RM III.'!F33</f>
        <v>77</v>
      </c>
      <c r="C33" s="879">
        <f>'[6]létszám ei mód RM III.'!G33</f>
        <v>77</v>
      </c>
      <c r="D33" s="878">
        <f>'[6]létszám ei mód RM III.'!L33</f>
        <v>7.5</v>
      </c>
      <c r="E33" s="879">
        <f>'[6]létszám ei mód RM III.'!M33</f>
        <v>7</v>
      </c>
      <c r="F33" s="880">
        <f t="shared" si="3"/>
        <v>84.5</v>
      </c>
      <c r="G33" s="881">
        <f t="shared" si="3"/>
        <v>84</v>
      </c>
      <c r="I33" s="857"/>
    </row>
    <row r="34" spans="1:9" s="876" customFormat="1" ht="44.25" customHeight="1" x14ac:dyDescent="0.55000000000000004">
      <c r="A34" s="877" t="s">
        <v>1236</v>
      </c>
      <c r="B34" s="890">
        <f>'[6]létszám ei mód RM III.'!F34</f>
        <v>35</v>
      </c>
      <c r="C34" s="879">
        <f>'[6]létszám ei mód RM III.'!G34</f>
        <v>35</v>
      </c>
      <c r="D34" s="878">
        <f>'[6]létszám ei mód RM III.'!L34</f>
        <v>11</v>
      </c>
      <c r="E34" s="879">
        <f>'[6]létszám ei mód RM III.'!M34</f>
        <v>11</v>
      </c>
      <c r="F34" s="880">
        <f t="shared" si="3"/>
        <v>46</v>
      </c>
      <c r="G34" s="881">
        <f t="shared" si="3"/>
        <v>46</v>
      </c>
      <c r="I34" s="857"/>
    </row>
    <row r="35" spans="1:9" s="876" customFormat="1" ht="44.25" customHeight="1" thickBot="1" x14ac:dyDescent="0.6">
      <c r="A35" s="891" t="s">
        <v>1237</v>
      </c>
      <c r="B35" s="873">
        <f>'[6]létszám ei mód RM III.'!F35</f>
        <v>66.5</v>
      </c>
      <c r="C35" s="872">
        <f>'[6]létszám ei mód RM III.'!G35</f>
        <v>67</v>
      </c>
      <c r="D35" s="873">
        <f>'[6]létszám ei mód RM III.'!L35</f>
        <v>34.25</v>
      </c>
      <c r="E35" s="872">
        <f>'[6]létszám ei mód RM III.'!M35</f>
        <v>34</v>
      </c>
      <c r="F35" s="874">
        <f t="shared" si="3"/>
        <v>100.75</v>
      </c>
      <c r="G35" s="875">
        <f t="shared" si="3"/>
        <v>101</v>
      </c>
      <c r="I35" s="857"/>
    </row>
    <row r="36" spans="1:9" s="876" customFormat="1" ht="44.25" customHeight="1" thickBot="1" x14ac:dyDescent="0.6">
      <c r="A36" s="883" t="s">
        <v>1271</v>
      </c>
      <c r="B36" s="892">
        <f t="shared" ref="B36:G36" si="4">SUM(B32:B35)</f>
        <v>196.5</v>
      </c>
      <c r="C36" s="887">
        <f t="shared" si="4"/>
        <v>197</v>
      </c>
      <c r="D36" s="892">
        <f t="shared" si="4"/>
        <v>54.25</v>
      </c>
      <c r="E36" s="887">
        <f t="shared" si="4"/>
        <v>54</v>
      </c>
      <c r="F36" s="892">
        <f t="shared" si="4"/>
        <v>250.75</v>
      </c>
      <c r="G36" s="887">
        <f t="shared" si="4"/>
        <v>251</v>
      </c>
      <c r="I36" s="857"/>
    </row>
    <row r="37" spans="1:9" s="876" customFormat="1" ht="45.75" customHeight="1" x14ac:dyDescent="0.55000000000000004">
      <c r="A37" s="888" t="s">
        <v>1239</v>
      </c>
      <c r="B37" s="893"/>
      <c r="C37" s="893"/>
      <c r="D37" s="893"/>
      <c r="E37" s="893"/>
      <c r="F37" s="893"/>
      <c r="G37" s="893"/>
      <c r="I37" s="857"/>
    </row>
    <row r="38" spans="1:9" s="876" customFormat="1" ht="69" thickBot="1" x14ac:dyDescent="0.6">
      <c r="A38" s="889" t="s">
        <v>1240</v>
      </c>
      <c r="B38" s="871">
        <f>'[6]létszám ei mód RM III.'!F38</f>
        <v>169.25</v>
      </c>
      <c r="C38" s="872">
        <f>'[6]létszám ei mód RM III.'!G38</f>
        <v>169</v>
      </c>
      <c r="D38" s="873">
        <f>'[6]létszám ei mód RM III.'!L38</f>
        <v>21</v>
      </c>
      <c r="E38" s="872">
        <f>'[6]létszám ei mód RM III.'!M38</f>
        <v>21</v>
      </c>
      <c r="F38" s="874">
        <f>B38+D38</f>
        <v>190.25</v>
      </c>
      <c r="G38" s="875">
        <f>C38+E38</f>
        <v>190</v>
      </c>
      <c r="I38" s="857"/>
    </row>
    <row r="39" spans="1:9" s="876" customFormat="1" ht="44.25" customHeight="1" x14ac:dyDescent="0.55000000000000004">
      <c r="A39" s="888" t="s">
        <v>1241</v>
      </c>
      <c r="B39" s="894"/>
      <c r="C39" s="894"/>
      <c r="D39" s="894"/>
      <c r="E39" s="894"/>
      <c r="F39" s="893"/>
      <c r="G39" s="893"/>
      <c r="I39" s="857"/>
    </row>
    <row r="40" spans="1:9" s="876" customFormat="1" ht="45.75" customHeight="1" thickBot="1" x14ac:dyDescent="0.6">
      <c r="A40" s="895" t="s">
        <v>1242</v>
      </c>
      <c r="B40" s="871">
        <f>'[6]létszám ei mód RM III.'!F40</f>
        <v>77</v>
      </c>
      <c r="C40" s="872">
        <f>'[6]létszám ei mód RM III.'!G40</f>
        <v>77</v>
      </c>
      <c r="D40" s="873">
        <f>'[6]létszám ei mód RM III.'!L40</f>
        <v>33</v>
      </c>
      <c r="E40" s="872">
        <f>'[6]létszám ei mód RM III.'!M40</f>
        <v>33</v>
      </c>
      <c r="F40" s="874">
        <f>B40+D40</f>
        <v>110</v>
      </c>
      <c r="G40" s="875">
        <f>C40+E40</f>
        <v>110</v>
      </c>
      <c r="I40" s="857"/>
    </row>
    <row r="41" spans="1:9" s="876" customFormat="1" ht="45" customHeight="1" x14ac:dyDescent="0.55000000000000004">
      <c r="A41" s="888" t="s">
        <v>1243</v>
      </c>
      <c r="B41" s="894"/>
      <c r="C41" s="894"/>
      <c r="D41" s="894"/>
      <c r="E41" s="894"/>
      <c r="F41" s="893"/>
      <c r="G41" s="893"/>
      <c r="I41" s="857"/>
    </row>
    <row r="42" spans="1:9" s="876" customFormat="1" ht="44.25" customHeight="1" thickBot="1" x14ac:dyDescent="0.6">
      <c r="A42" s="895" t="s">
        <v>1272</v>
      </c>
      <c r="B42" s="871">
        <f>'[6]létszám ei mód RM III.'!F42</f>
        <v>135.01</v>
      </c>
      <c r="C42" s="872">
        <f>'[6]létszám ei mód RM III.'!G42</f>
        <v>135</v>
      </c>
      <c r="D42" s="873">
        <f>'[6]létszám ei mód RM III.'!L42</f>
        <v>40.74499999999999</v>
      </c>
      <c r="E42" s="872">
        <f>'[6]létszám ei mód RM III.'!M42</f>
        <v>41</v>
      </c>
      <c r="F42" s="874">
        <f>B42+D42</f>
        <v>175.755</v>
      </c>
      <c r="G42" s="875">
        <f>C42+E42</f>
        <v>176</v>
      </c>
      <c r="I42" s="857"/>
    </row>
    <row r="43" spans="1:9" s="876" customFormat="1" ht="45.75" customHeight="1" x14ac:dyDescent="0.55000000000000004">
      <c r="A43" s="888" t="s">
        <v>1245</v>
      </c>
      <c r="B43" s="894"/>
      <c r="C43" s="894"/>
      <c r="D43" s="894"/>
      <c r="E43" s="894"/>
      <c r="F43" s="893"/>
      <c r="G43" s="893"/>
      <c r="I43" s="857"/>
    </row>
    <row r="44" spans="1:9" s="876" customFormat="1" ht="44.25" customHeight="1" x14ac:dyDescent="0.55000000000000004">
      <c r="A44" s="895" t="s">
        <v>1246</v>
      </c>
      <c r="B44" s="871">
        <f>'[6]létszám ei mód RM III.'!F44</f>
        <v>1</v>
      </c>
      <c r="C44" s="872">
        <f>'[6]létszám ei mód RM III.'!G44</f>
        <v>1</v>
      </c>
      <c r="D44" s="896">
        <f>'[6]létszám ei mód RM III.'!L44</f>
        <v>15</v>
      </c>
      <c r="E44" s="897">
        <f>'[6]létszám ei mód RM III.'!M44</f>
        <v>15</v>
      </c>
      <c r="F44" s="898">
        <f t="shared" ref="F44:G45" si="5">B44+D44</f>
        <v>16</v>
      </c>
      <c r="G44" s="899">
        <f t="shared" si="5"/>
        <v>16</v>
      </c>
      <c r="I44" s="857"/>
    </row>
    <row r="45" spans="1:9" s="876" customFormat="1" ht="45" customHeight="1" thickBot="1" x14ac:dyDescent="0.6">
      <c r="A45" s="900" t="s">
        <v>46</v>
      </c>
      <c r="B45" s="901">
        <f>'[6]létszám ei mód RM III.'!F45</f>
        <v>278.5</v>
      </c>
      <c r="C45" s="902">
        <f>'[6]létszám ei mód RM III.'!G45</f>
        <v>279</v>
      </c>
      <c r="D45" s="903">
        <f>'[6]létszám ei mód RM III.'!L45</f>
        <v>0</v>
      </c>
      <c r="E45" s="902">
        <f>'[6]létszám ei mód RM III.'!M45</f>
        <v>0</v>
      </c>
      <c r="F45" s="904">
        <f t="shared" si="5"/>
        <v>278.5</v>
      </c>
      <c r="G45" s="905">
        <f t="shared" si="5"/>
        <v>279</v>
      </c>
      <c r="I45" s="857"/>
    </row>
    <row r="46" spans="1:9" s="876" customFormat="1" ht="44.25" customHeight="1" thickBot="1" x14ac:dyDescent="0.6">
      <c r="A46" s="883" t="s">
        <v>1271</v>
      </c>
      <c r="B46" s="906">
        <f t="shared" ref="B46:G46" si="6">SUM(B44:B45)</f>
        <v>279.5</v>
      </c>
      <c r="C46" s="907">
        <f t="shared" si="6"/>
        <v>280</v>
      </c>
      <c r="D46" s="906">
        <f t="shared" si="6"/>
        <v>15</v>
      </c>
      <c r="E46" s="907">
        <f t="shared" si="6"/>
        <v>15</v>
      </c>
      <c r="F46" s="906">
        <f t="shared" si="6"/>
        <v>294.5</v>
      </c>
      <c r="G46" s="907">
        <f t="shared" si="6"/>
        <v>295</v>
      </c>
      <c r="I46" s="857"/>
    </row>
    <row r="47" spans="1:9" s="876" customFormat="1" ht="44.25" customHeight="1" thickBot="1" x14ac:dyDescent="0.6">
      <c r="A47" s="908" t="s">
        <v>1248</v>
      </c>
      <c r="B47" s="906">
        <f t="shared" ref="B47:G47" si="7">B36+B38+B40+B42+B46</f>
        <v>857.26</v>
      </c>
      <c r="C47" s="907">
        <f t="shared" si="7"/>
        <v>858</v>
      </c>
      <c r="D47" s="906">
        <f t="shared" si="7"/>
        <v>163.995</v>
      </c>
      <c r="E47" s="907">
        <f t="shared" si="7"/>
        <v>164</v>
      </c>
      <c r="F47" s="906">
        <f t="shared" si="7"/>
        <v>1021.255</v>
      </c>
      <c r="G47" s="907">
        <f t="shared" si="7"/>
        <v>1022</v>
      </c>
      <c r="I47" s="857"/>
    </row>
    <row r="48" spans="1:9" s="876" customFormat="1" ht="44.25" customHeight="1" thickBot="1" x14ac:dyDescent="0.6">
      <c r="A48" s="909" t="s">
        <v>1249</v>
      </c>
      <c r="B48" s="906">
        <f t="shared" ref="B48:G48" si="8">B29+B47</f>
        <v>1251.26</v>
      </c>
      <c r="C48" s="907">
        <f t="shared" si="8"/>
        <v>1252</v>
      </c>
      <c r="D48" s="906">
        <f t="shared" si="8"/>
        <v>226.495</v>
      </c>
      <c r="E48" s="907">
        <f t="shared" si="8"/>
        <v>226</v>
      </c>
      <c r="F48" s="906">
        <f t="shared" si="8"/>
        <v>1477.7550000000001</v>
      </c>
      <c r="G48" s="907">
        <f t="shared" si="8"/>
        <v>1478</v>
      </c>
      <c r="I48" s="857"/>
    </row>
    <row r="49" spans="1:22" s="913" customFormat="1" x14ac:dyDescent="0.5">
      <c r="A49" s="910"/>
      <c r="B49" s="911"/>
      <c r="C49" s="912"/>
      <c r="I49" s="914"/>
    </row>
    <row r="50" spans="1:22" s="876" customFormat="1" x14ac:dyDescent="0.5">
      <c r="A50" s="915"/>
      <c r="F50" s="911"/>
      <c r="G50" s="911"/>
      <c r="I50" s="916"/>
    </row>
    <row r="51" spans="1:22" s="876" customFormat="1" x14ac:dyDescent="0.5">
      <c r="A51" s="915"/>
      <c r="I51" s="916"/>
    </row>
    <row r="52" spans="1:22" s="913" customFormat="1" ht="35.25" x14ac:dyDescent="0.5">
      <c r="A52" s="917"/>
      <c r="B52" s="918"/>
      <c r="C52" s="919"/>
      <c r="G52" s="920"/>
      <c r="I52" s="914"/>
    </row>
    <row r="53" spans="1:22" x14ac:dyDescent="0.5">
      <c r="B53" s="921"/>
      <c r="C53" s="922"/>
    </row>
    <row r="55" spans="1:22" s="876" customFormat="1" ht="35.25" x14ac:dyDescent="0.5">
      <c r="A55" s="923"/>
      <c r="B55" s="918"/>
      <c r="C55" s="919"/>
      <c r="D55" s="919"/>
      <c r="E55" s="924"/>
      <c r="F55" s="924"/>
      <c r="G55" s="924"/>
      <c r="H55" s="924"/>
      <c r="I55" s="925"/>
      <c r="V55" s="916"/>
    </row>
    <row r="56" spans="1:22" s="876" customFormat="1" ht="35.25" x14ac:dyDescent="0.5">
      <c r="A56" s="917"/>
      <c r="B56" s="918"/>
      <c r="C56" s="918"/>
      <c r="D56" s="919"/>
      <c r="E56" s="924"/>
      <c r="F56" s="924"/>
      <c r="G56" s="924"/>
      <c r="H56" s="924"/>
      <c r="I56" s="925"/>
      <c r="V56" s="916"/>
    </row>
    <row r="57" spans="1:22" s="876" customFormat="1" ht="35.25" x14ac:dyDescent="0.5">
      <c r="A57" s="917"/>
      <c r="B57" s="918"/>
      <c r="C57" s="918"/>
      <c r="D57" s="919"/>
      <c r="E57" s="924"/>
      <c r="F57" s="924"/>
      <c r="G57" s="924"/>
      <c r="H57" s="924"/>
      <c r="I57" s="924"/>
      <c r="V57" s="916"/>
    </row>
    <row r="58" spans="1:22" s="876" customFormat="1" ht="35.25" x14ac:dyDescent="0.5">
      <c r="A58" s="919"/>
      <c r="B58" s="918"/>
      <c r="C58" s="919"/>
      <c r="D58" s="919"/>
      <c r="E58" s="924"/>
      <c r="F58" s="924"/>
      <c r="G58" s="924"/>
      <c r="H58" s="924"/>
      <c r="I58" s="925"/>
      <c r="V58" s="916"/>
    </row>
  </sheetData>
  <mergeCells count="9">
    <mergeCell ref="B6:C6"/>
    <mergeCell ref="D6:E6"/>
    <mergeCell ref="A1:G1"/>
    <mergeCell ref="A2:G2"/>
    <mergeCell ref="B3:E3"/>
    <mergeCell ref="B4:E4"/>
    <mergeCell ref="F4:G5"/>
    <mergeCell ref="B5:C5"/>
    <mergeCell ref="D5:E5"/>
  </mergeCells>
  <printOptions horizontalCentered="1" verticalCentered="1"/>
  <pageMargins left="0.39370078740157483" right="0" top="0" bottom="0" header="0.59055118110236227" footer="0"/>
  <pageSetup paperSize="9" scale="25" orientation="portrait" r:id="rId1"/>
  <headerFooter alignWithMargins="0">
    <oddHeader xml:space="preserve">&amp;R&amp;28 7.  melléklet a 13/2023. (V.26.) önkormányzati rendelethez   </oddHeader>
  </headerFooter>
  <rowBreaks count="1" manualBreakCount="1">
    <brk id="48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8"/>
  <dimension ref="B1:G45"/>
  <sheetViews>
    <sheetView view="pageLayout" topLeftCell="A71" zoomScaleNormal="100" zoomScaleSheetLayoutView="100" workbookViewId="0">
      <selection activeCell="E73" sqref="E73"/>
    </sheetView>
  </sheetViews>
  <sheetFormatPr defaultColWidth="9.33203125" defaultRowHeight="15" customHeight="1" x14ac:dyDescent="0.2"/>
  <cols>
    <col min="1" max="1" width="9.33203125" style="1"/>
    <col min="2" max="2" width="14.1640625" style="1" customWidth="1"/>
    <col min="3" max="3" width="100.33203125" style="1" customWidth="1"/>
    <col min="4" max="7" width="25.83203125" style="1" customWidth="1"/>
    <col min="8" max="16384" width="9.33203125" style="1"/>
  </cols>
  <sheetData>
    <row r="1" spans="2:7" ht="15" customHeight="1" x14ac:dyDescent="0.25">
      <c r="B1" s="58"/>
      <c r="C1" s="2006"/>
      <c r="D1" s="2006"/>
      <c r="E1" s="58"/>
      <c r="F1" s="58"/>
      <c r="G1" s="58"/>
    </row>
    <row r="2" spans="2:7" ht="24.75" customHeight="1" x14ac:dyDescent="0.3">
      <c r="B2" s="58"/>
      <c r="C2" s="2070" t="s">
        <v>21</v>
      </c>
      <c r="D2" s="2070"/>
      <c r="E2" s="2070"/>
      <c r="F2" s="2070"/>
      <c r="G2" s="2070"/>
    </row>
    <row r="3" spans="2:7" ht="15" customHeight="1" x14ac:dyDescent="0.3">
      <c r="B3" s="58"/>
      <c r="C3" s="277"/>
      <c r="D3" s="277"/>
      <c r="E3" s="962"/>
      <c r="F3" s="962"/>
      <c r="G3" s="962"/>
    </row>
    <row r="4" spans="2:7" ht="24.75" customHeight="1" thickBot="1" x14ac:dyDescent="0.35">
      <c r="B4" s="58"/>
      <c r="C4" s="1427" t="s">
        <v>148</v>
      </c>
      <c r="D4" s="1017"/>
      <c r="E4" s="1017"/>
      <c r="F4" s="1017"/>
      <c r="G4" s="1428" t="s">
        <v>17</v>
      </c>
    </row>
    <row r="5" spans="2:7" ht="21" customHeight="1" x14ac:dyDescent="0.3">
      <c r="B5" s="58"/>
      <c r="C5" s="1429" t="s">
        <v>31</v>
      </c>
      <c r="D5" s="2068" t="s">
        <v>515</v>
      </c>
      <c r="E5" s="2069"/>
      <c r="F5" s="271" t="s">
        <v>340</v>
      </c>
      <c r="G5" s="361" t="s">
        <v>100</v>
      </c>
    </row>
    <row r="6" spans="2:7" ht="21" customHeight="1" thickBot="1" x14ac:dyDescent="0.35">
      <c r="B6" s="58"/>
      <c r="C6" s="1430"/>
      <c r="D6" s="362" t="s">
        <v>202</v>
      </c>
      <c r="E6" s="362" t="s">
        <v>98</v>
      </c>
      <c r="F6" s="363" t="s">
        <v>99</v>
      </c>
      <c r="G6" s="364" t="s">
        <v>101</v>
      </c>
    </row>
    <row r="7" spans="2:7" ht="21" customHeight="1" x14ac:dyDescent="0.3">
      <c r="B7" s="58"/>
      <c r="C7" s="1431" t="s">
        <v>82</v>
      </c>
      <c r="D7" s="365">
        <v>2099897</v>
      </c>
      <c r="E7" s="365">
        <v>2186093</v>
      </c>
      <c r="F7" s="366">
        <v>2037055</v>
      </c>
      <c r="G7" s="367">
        <f t="shared" ref="G7:G8" si="0">+F7/E7*100</f>
        <v>93.182449237063565</v>
      </c>
    </row>
    <row r="8" spans="2:7" ht="21" customHeight="1" x14ac:dyDescent="0.3">
      <c r="B8" s="58"/>
      <c r="C8" s="1432" t="s">
        <v>136</v>
      </c>
      <c r="D8" s="368">
        <v>1616137</v>
      </c>
      <c r="E8" s="368">
        <v>1782769</v>
      </c>
      <c r="F8" s="369">
        <v>1730995</v>
      </c>
      <c r="G8" s="370">
        <f t="shared" si="0"/>
        <v>97.095866037607792</v>
      </c>
    </row>
    <row r="9" spans="2:7" ht="21" customHeight="1" thickBot="1" x14ac:dyDescent="0.35">
      <c r="B9" s="58"/>
      <c r="C9" s="1433" t="s">
        <v>10</v>
      </c>
      <c r="D9" s="373">
        <f>SUM(D7:D8)</f>
        <v>3716034</v>
      </c>
      <c r="E9" s="373">
        <f>SUM(E7:E8)</f>
        <v>3968862</v>
      </c>
      <c r="F9" s="373">
        <f>SUM(F7:F8)</f>
        <v>3768050</v>
      </c>
      <c r="G9" s="374">
        <f>+F9/E9*100</f>
        <v>94.940312865501497</v>
      </c>
    </row>
    <row r="10" spans="2:7" ht="21" customHeight="1" x14ac:dyDescent="0.3">
      <c r="B10" s="159"/>
      <c r="C10" s="1434" t="s">
        <v>342</v>
      </c>
      <c r="D10" s="366">
        <v>30000</v>
      </c>
      <c r="E10" s="366">
        <v>19910</v>
      </c>
      <c r="F10" s="366"/>
      <c r="G10" s="367">
        <f>+F10/E10*100</f>
        <v>0</v>
      </c>
    </row>
    <row r="11" spans="2:7" ht="21" customHeight="1" x14ac:dyDescent="0.3">
      <c r="B11" s="159"/>
      <c r="C11" s="1435" t="s">
        <v>521</v>
      </c>
      <c r="D11" s="282">
        <v>7200</v>
      </c>
      <c r="E11" s="282">
        <v>14352</v>
      </c>
      <c r="F11" s="282">
        <v>7152</v>
      </c>
      <c r="G11" s="372">
        <f>+F11/E11*100</f>
        <v>49.832775919732441</v>
      </c>
    </row>
    <row r="12" spans="2:7" ht="21" customHeight="1" x14ac:dyDescent="0.3">
      <c r="B12" s="159"/>
      <c r="C12" s="1436" t="s">
        <v>522</v>
      </c>
      <c r="D12" s="282">
        <v>1000</v>
      </c>
      <c r="E12" s="282">
        <v>1000</v>
      </c>
      <c r="F12" s="282"/>
      <c r="G12" s="372">
        <f>+F12/E12*100</f>
        <v>0</v>
      </c>
    </row>
    <row r="13" spans="2:7" ht="21" customHeight="1" x14ac:dyDescent="0.3">
      <c r="B13" s="159"/>
      <c r="C13" s="1437" t="s">
        <v>290</v>
      </c>
      <c r="D13" s="375">
        <v>4000</v>
      </c>
      <c r="E13" s="375">
        <v>4000</v>
      </c>
      <c r="F13" s="375"/>
      <c r="G13" s="370">
        <f t="shared" ref="G13:G27" si="1">+F13/E13*100</f>
        <v>0</v>
      </c>
    </row>
    <row r="14" spans="2:7" ht="21" customHeight="1" x14ac:dyDescent="0.3">
      <c r="B14" s="159"/>
      <c r="C14" s="1438" t="s">
        <v>126</v>
      </c>
      <c r="D14" s="284">
        <v>400</v>
      </c>
      <c r="E14" s="284">
        <v>400</v>
      </c>
      <c r="F14" s="267">
        <v>400</v>
      </c>
      <c r="G14" s="372">
        <f t="shared" si="1"/>
        <v>100</v>
      </c>
    </row>
    <row r="15" spans="2:7" ht="21" customHeight="1" x14ac:dyDescent="0.3">
      <c r="B15" s="159"/>
      <c r="C15" s="1438" t="s">
        <v>478</v>
      </c>
      <c r="D15" s="284">
        <v>500</v>
      </c>
      <c r="E15" s="284">
        <v>500</v>
      </c>
      <c r="F15" s="267"/>
      <c r="G15" s="372">
        <f t="shared" si="1"/>
        <v>0</v>
      </c>
    </row>
    <row r="16" spans="2:7" ht="42.75" customHeight="1" x14ac:dyDescent="0.3">
      <c r="B16" s="159"/>
      <c r="C16" s="1439" t="s">
        <v>624</v>
      </c>
      <c r="D16" s="376"/>
      <c r="E16" s="376">
        <v>1370</v>
      </c>
      <c r="F16" s="282">
        <v>1370</v>
      </c>
      <c r="G16" s="372">
        <f t="shared" si="1"/>
        <v>100</v>
      </c>
    </row>
    <row r="17" spans="2:7" ht="21" customHeight="1" x14ac:dyDescent="0.3">
      <c r="B17" s="159"/>
      <c r="C17" s="1437" t="s">
        <v>235</v>
      </c>
      <c r="D17" s="375">
        <v>4000</v>
      </c>
      <c r="E17" s="375">
        <v>0</v>
      </c>
      <c r="F17" s="375"/>
      <c r="G17" s="370"/>
    </row>
    <row r="18" spans="2:7" ht="21" customHeight="1" x14ac:dyDescent="0.3">
      <c r="B18" s="159"/>
      <c r="C18" s="1438" t="s">
        <v>69</v>
      </c>
      <c r="D18" s="284">
        <v>4842</v>
      </c>
      <c r="E18" s="284">
        <v>5044</v>
      </c>
      <c r="F18" s="267">
        <v>5044</v>
      </c>
      <c r="G18" s="372">
        <f t="shared" si="1"/>
        <v>100</v>
      </c>
    </row>
    <row r="19" spans="2:7" ht="21" customHeight="1" x14ac:dyDescent="0.3">
      <c r="B19" s="159"/>
      <c r="C19" s="1438" t="s">
        <v>93</v>
      </c>
      <c r="D19" s="284">
        <v>1250</v>
      </c>
      <c r="E19" s="284">
        <v>1250</v>
      </c>
      <c r="F19" s="267">
        <v>94</v>
      </c>
      <c r="G19" s="372">
        <f t="shared" si="1"/>
        <v>7.5200000000000005</v>
      </c>
    </row>
    <row r="20" spans="2:7" ht="21" customHeight="1" x14ac:dyDescent="0.3">
      <c r="B20" s="159"/>
      <c r="C20" s="1438" t="s">
        <v>103</v>
      </c>
      <c r="D20" s="284">
        <v>9350</v>
      </c>
      <c r="E20" s="284">
        <v>8648</v>
      </c>
      <c r="F20" s="267">
        <v>4200</v>
      </c>
      <c r="G20" s="372">
        <f t="shared" si="1"/>
        <v>48.566142460684553</v>
      </c>
    </row>
    <row r="21" spans="2:7" ht="21" customHeight="1" x14ac:dyDescent="0.3">
      <c r="B21" s="159"/>
      <c r="C21" s="1438" t="s">
        <v>1</v>
      </c>
      <c r="D21" s="284">
        <v>600</v>
      </c>
      <c r="E21" s="284">
        <v>600</v>
      </c>
      <c r="F21" s="284">
        <v>400</v>
      </c>
      <c r="G21" s="372">
        <f t="shared" si="1"/>
        <v>66.666666666666657</v>
      </c>
    </row>
    <row r="22" spans="2:7" ht="21" customHeight="1" x14ac:dyDescent="0.3">
      <c r="B22" s="159"/>
      <c r="C22" s="944" t="s">
        <v>15</v>
      </c>
      <c r="D22" s="284">
        <v>500</v>
      </c>
      <c r="E22" s="284">
        <v>400</v>
      </c>
      <c r="F22" s="267">
        <v>369</v>
      </c>
      <c r="G22" s="372">
        <f t="shared" si="1"/>
        <v>92.25</v>
      </c>
    </row>
    <row r="23" spans="2:7" ht="21" customHeight="1" x14ac:dyDescent="0.3">
      <c r="B23" s="58"/>
      <c r="C23" s="1440" t="s">
        <v>479</v>
      </c>
      <c r="D23" s="284">
        <v>15000</v>
      </c>
      <c r="E23" s="284">
        <v>15000</v>
      </c>
      <c r="F23" s="1441">
        <v>15000</v>
      </c>
      <c r="G23" s="560">
        <f t="shared" si="1"/>
        <v>100</v>
      </c>
    </row>
    <row r="24" spans="2:7" ht="43.5" customHeight="1" x14ac:dyDescent="0.3">
      <c r="B24" s="58"/>
      <c r="C24" s="1442" t="s">
        <v>89</v>
      </c>
      <c r="D24" s="284">
        <v>2050</v>
      </c>
      <c r="E24" s="284">
        <v>0</v>
      </c>
      <c r="F24" s="284"/>
      <c r="G24" s="268"/>
    </row>
    <row r="25" spans="2:7" ht="43.5" customHeight="1" x14ac:dyDescent="0.3">
      <c r="B25" s="58"/>
      <c r="C25" s="1442" t="s">
        <v>329</v>
      </c>
      <c r="D25" s="284">
        <v>1000</v>
      </c>
      <c r="E25" s="284">
        <v>1285</v>
      </c>
      <c r="F25" s="284">
        <v>595</v>
      </c>
      <c r="G25" s="268">
        <f t="shared" si="1"/>
        <v>46.303501945525291</v>
      </c>
    </row>
    <row r="26" spans="2:7" ht="43.5" customHeight="1" x14ac:dyDescent="0.3">
      <c r="B26" s="58"/>
      <c r="C26" s="1442" t="s">
        <v>640</v>
      </c>
      <c r="D26" s="284"/>
      <c r="E26" s="284">
        <v>17200</v>
      </c>
      <c r="F26" s="284">
        <v>17200</v>
      </c>
      <c r="G26" s="268">
        <f t="shared" si="1"/>
        <v>100</v>
      </c>
    </row>
    <row r="27" spans="2:7" ht="21" customHeight="1" x14ac:dyDescent="0.3">
      <c r="B27" s="58"/>
      <c r="C27" s="1443" t="s">
        <v>523</v>
      </c>
      <c r="D27" s="377">
        <v>6900</v>
      </c>
      <c r="E27" s="377">
        <v>6900</v>
      </c>
      <c r="F27" s="377">
        <v>200</v>
      </c>
      <c r="G27" s="268">
        <f t="shared" si="1"/>
        <v>2.8985507246376812</v>
      </c>
    </row>
    <row r="28" spans="2:7" ht="21" customHeight="1" thickBot="1" x14ac:dyDescent="0.35">
      <c r="B28" s="58"/>
      <c r="C28" s="1444" t="s">
        <v>291</v>
      </c>
      <c r="D28" s="373">
        <f>SUM(D10:D27)</f>
        <v>88592</v>
      </c>
      <c r="E28" s="373">
        <f>SUM(E10:E27)</f>
        <v>97859</v>
      </c>
      <c r="F28" s="373">
        <f>SUM(F10:F27)</f>
        <v>52024</v>
      </c>
      <c r="G28" s="378">
        <f>+F28/E28*100</f>
        <v>53.162202761115488</v>
      </c>
    </row>
    <row r="29" spans="2:7" s="4" customFormat="1" ht="21" customHeight="1" thickBot="1" x14ac:dyDescent="0.35">
      <c r="B29" s="99"/>
      <c r="C29" s="1445" t="s">
        <v>349</v>
      </c>
      <c r="D29" s="278">
        <f>D9+D28</f>
        <v>3804626</v>
      </c>
      <c r="E29" s="278">
        <f>E9+E28</f>
        <v>4066721</v>
      </c>
      <c r="F29" s="278">
        <f>F9+F28</f>
        <v>3820074</v>
      </c>
      <c r="G29" s="379">
        <f>+F29/E29*100</f>
        <v>93.934990868564626</v>
      </c>
    </row>
    <row r="30" spans="2:7" ht="21" customHeight="1" x14ac:dyDescent="0.3">
      <c r="B30" s="58"/>
      <c r="C30" s="962"/>
      <c r="D30" s="447"/>
      <c r="E30" s="962"/>
      <c r="F30" s="962"/>
      <c r="G30" s="962"/>
    </row>
    <row r="31" spans="2:7" ht="21" customHeight="1" x14ac:dyDescent="0.3">
      <c r="B31" s="58"/>
      <c r="C31" s="962"/>
      <c r="D31" s="447"/>
      <c r="E31" s="447"/>
      <c r="F31" s="447"/>
      <c r="G31" s="962"/>
    </row>
    <row r="32" spans="2:7" ht="21" customHeight="1" thickBot="1" x14ac:dyDescent="0.35">
      <c r="B32" s="58"/>
      <c r="C32" s="963" t="s">
        <v>18</v>
      </c>
      <c r="D32" s="964"/>
      <c r="E32" s="964"/>
      <c r="F32" s="962"/>
      <c r="G32" s="964"/>
    </row>
    <row r="33" spans="2:7" ht="21" customHeight="1" x14ac:dyDescent="0.3">
      <c r="B33" s="58"/>
      <c r="C33" s="930" t="s">
        <v>31</v>
      </c>
      <c r="D33" s="2068" t="s">
        <v>515</v>
      </c>
      <c r="E33" s="2069"/>
      <c r="F33" s="271" t="s">
        <v>340</v>
      </c>
      <c r="G33" s="380" t="s">
        <v>100</v>
      </c>
    </row>
    <row r="34" spans="2:7" ht="21" customHeight="1" thickBot="1" x14ac:dyDescent="0.35">
      <c r="B34" s="58"/>
      <c r="C34" s="959"/>
      <c r="D34" s="362" t="s">
        <v>202</v>
      </c>
      <c r="E34" s="362" t="s">
        <v>98</v>
      </c>
      <c r="F34" s="363" t="s">
        <v>99</v>
      </c>
      <c r="G34" s="381" t="s">
        <v>101</v>
      </c>
    </row>
    <row r="35" spans="2:7" ht="21" customHeight="1" x14ac:dyDescent="0.3">
      <c r="B35" s="58"/>
      <c r="C35" s="1431" t="s">
        <v>82</v>
      </c>
      <c r="D35" s="366"/>
      <c r="E35" s="382">
        <v>53138</v>
      </c>
      <c r="F35" s="1446">
        <v>47933</v>
      </c>
      <c r="G35" s="1447">
        <f t="shared" ref="G35:G37" si="2">+F35/E35*100</f>
        <v>90.204749896495912</v>
      </c>
    </row>
    <row r="36" spans="2:7" ht="21" customHeight="1" x14ac:dyDescent="0.3">
      <c r="B36" s="58"/>
      <c r="C36" s="1432" t="s">
        <v>136</v>
      </c>
      <c r="D36" s="1448"/>
      <c r="E36" s="383">
        <v>64632</v>
      </c>
      <c r="F36" s="383">
        <v>34018</v>
      </c>
      <c r="G36" s="1449">
        <f t="shared" si="2"/>
        <v>52.633370466641914</v>
      </c>
    </row>
    <row r="37" spans="2:7" ht="21" customHeight="1" thickBot="1" x14ac:dyDescent="0.35">
      <c r="B37" s="58"/>
      <c r="C37" s="1433" t="s">
        <v>350</v>
      </c>
      <c r="D37" s="269">
        <f>SUM(D35:D36)</f>
        <v>0</v>
      </c>
      <c r="E37" s="269">
        <f>SUM(E35:E36)</f>
        <v>117770</v>
      </c>
      <c r="F37" s="269">
        <f>SUM(F35:F36)</f>
        <v>81951</v>
      </c>
      <c r="G37" s="270">
        <f t="shared" si="2"/>
        <v>69.585633013500896</v>
      </c>
    </row>
    <row r="38" spans="2:7" ht="21" customHeight="1" thickBot="1" x14ac:dyDescent="0.35">
      <c r="B38" s="58"/>
      <c r="C38" s="384"/>
      <c r="D38" s="337"/>
      <c r="E38" s="337"/>
      <c r="F38" s="384"/>
      <c r="G38" s="385"/>
    </row>
    <row r="39" spans="2:7" ht="21" customHeight="1" thickBot="1" x14ac:dyDescent="0.35">
      <c r="B39" s="58"/>
      <c r="C39" s="966" t="s">
        <v>351</v>
      </c>
      <c r="D39" s="386">
        <f>+D29+D37</f>
        <v>3804626</v>
      </c>
      <c r="E39" s="386">
        <f>+E29+E37</f>
        <v>4184491</v>
      </c>
      <c r="F39" s="386">
        <f>+F37+F29</f>
        <v>3902025</v>
      </c>
      <c r="G39" s="387">
        <f>+F39/E39*100</f>
        <v>93.249692734432926</v>
      </c>
    </row>
    <row r="40" spans="2:7" ht="21" customHeight="1" x14ac:dyDescent="0.25">
      <c r="B40" s="58"/>
      <c r="C40" s="58"/>
      <c r="D40" s="58"/>
      <c r="E40" s="58"/>
      <c r="F40" s="58"/>
      <c r="G40" s="58"/>
    </row>
    <row r="41" spans="2:7" ht="15" customHeight="1" x14ac:dyDescent="0.2">
      <c r="F41" s="3"/>
    </row>
    <row r="42" spans="2:7" ht="15" customHeight="1" x14ac:dyDescent="0.2">
      <c r="E42" s="7"/>
      <c r="F42" s="3"/>
    </row>
    <row r="43" spans="2:7" ht="15" customHeight="1" x14ac:dyDescent="0.2">
      <c r="F43" s="3"/>
    </row>
    <row r="45" spans="2:7" ht="15" customHeight="1" x14ac:dyDescent="0.2">
      <c r="F45" s="3"/>
    </row>
  </sheetData>
  <mergeCells count="4">
    <mergeCell ref="C1:D1"/>
    <mergeCell ref="D5:E5"/>
    <mergeCell ref="D33:E33"/>
    <mergeCell ref="C2:G2"/>
  </mergeCells>
  <phoneticPr fontId="0" type="noConversion"/>
  <printOptions horizontalCentered="1" verticalCentered="1"/>
  <pageMargins left="0.39370078740157483" right="0.39370078740157483" top="0.59055118110236227" bottom="0.39370078740157483" header="0.31496062992125984" footer="0.31496062992125984"/>
  <pageSetup paperSize="9" scale="60" orientation="portrait" r:id="rId1"/>
  <headerFooter alignWithMargins="0">
    <oddHeader xml:space="preserve">&amp;C&amp;"Times New Roman CE,Félkövér"&amp;14
&amp;R&amp;"-,Félkövér"&amp;11 8. melléklet a 13/2023. (V.26.) önkormányzati rendelethez 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13"/>
  <dimension ref="A1:J87"/>
  <sheetViews>
    <sheetView view="pageBreakPreview" topLeftCell="A64" zoomScale="75" zoomScaleNormal="75" zoomScaleSheetLayoutView="75" workbookViewId="0">
      <selection activeCell="C134" sqref="C134"/>
    </sheetView>
  </sheetViews>
  <sheetFormatPr defaultColWidth="9.33203125" defaultRowHeight="15" customHeight="1" x14ac:dyDescent="0.2"/>
  <cols>
    <col min="1" max="1" width="12.5" style="1" bestFit="1" customWidth="1"/>
    <col min="2" max="2" width="103.33203125" style="1" customWidth="1"/>
    <col min="3" max="5" width="20.6640625" style="1" customWidth="1"/>
    <col min="6" max="6" width="21.33203125" style="1" customWidth="1"/>
    <col min="7" max="7" width="21.6640625" style="3" customWidth="1"/>
    <col min="8" max="8" width="59" style="3" customWidth="1"/>
    <col min="9" max="10" width="59" style="50" customWidth="1"/>
    <col min="11" max="16384" width="9.33203125" style="1"/>
  </cols>
  <sheetData>
    <row r="1" spans="1:10" ht="15" customHeight="1" x14ac:dyDescent="0.25">
      <c r="A1" s="58"/>
      <c r="B1" s="57"/>
      <c r="C1" s="58"/>
      <c r="D1" s="58"/>
      <c r="E1" s="58"/>
      <c r="F1" s="58"/>
    </row>
    <row r="2" spans="1:10" ht="24" customHeight="1" x14ac:dyDescent="0.25">
      <c r="A2" s="58"/>
      <c r="B2" s="2073" t="s">
        <v>306</v>
      </c>
      <c r="C2" s="2073"/>
      <c r="D2" s="2073"/>
      <c r="E2" s="2073"/>
      <c r="F2" s="2073"/>
    </row>
    <row r="3" spans="1:10" ht="15" customHeight="1" x14ac:dyDescent="0.25">
      <c r="A3" s="58"/>
      <c r="B3" s="57"/>
      <c r="C3" s="57"/>
      <c r="D3" s="58"/>
      <c r="E3" s="58"/>
      <c r="F3" s="58"/>
    </row>
    <row r="4" spans="1:10" ht="24.75" customHeight="1" thickBot="1" x14ac:dyDescent="0.3">
      <c r="A4" s="58"/>
      <c r="B4" s="154" t="s">
        <v>148</v>
      </c>
      <c r="C4" s="61"/>
      <c r="D4" s="58"/>
      <c r="E4" s="58"/>
      <c r="F4" s="61" t="s">
        <v>17</v>
      </c>
    </row>
    <row r="5" spans="1:10" ht="24.75" customHeight="1" x14ac:dyDescent="0.3">
      <c r="A5" s="58"/>
      <c r="B5" s="66" t="s">
        <v>31</v>
      </c>
      <c r="C5" s="2071" t="s">
        <v>515</v>
      </c>
      <c r="D5" s="2071"/>
      <c r="E5" s="271" t="s">
        <v>340</v>
      </c>
      <c r="F5" s="361" t="s">
        <v>100</v>
      </c>
    </row>
    <row r="6" spans="1:10" ht="24.75" customHeight="1" thickBot="1" x14ac:dyDescent="0.35">
      <c r="A6" s="58"/>
      <c r="B6" s="164"/>
      <c r="C6" s="388" t="s">
        <v>202</v>
      </c>
      <c r="D6" s="389" t="s">
        <v>98</v>
      </c>
      <c r="E6" s="390" t="s">
        <v>99</v>
      </c>
      <c r="F6" s="273" t="s">
        <v>101</v>
      </c>
    </row>
    <row r="7" spans="1:10" ht="17.100000000000001" customHeight="1" x14ac:dyDescent="0.3">
      <c r="A7" s="58"/>
      <c r="B7" s="165" t="s">
        <v>76</v>
      </c>
      <c r="C7" s="392"/>
      <c r="D7" s="392"/>
      <c r="E7" s="392"/>
      <c r="F7" s="392"/>
    </row>
    <row r="8" spans="1:10" ht="24.95" customHeight="1" x14ac:dyDescent="0.3">
      <c r="A8" s="58"/>
      <c r="B8" s="166" t="s">
        <v>77</v>
      </c>
      <c r="C8" s="391"/>
      <c r="D8" s="391"/>
      <c r="E8" s="391"/>
      <c r="F8" s="393"/>
    </row>
    <row r="9" spans="1:10" ht="24.95" customHeight="1" x14ac:dyDescent="0.3">
      <c r="A9" s="58"/>
      <c r="B9" s="257" t="s">
        <v>233</v>
      </c>
      <c r="C9" s="394">
        <v>131995</v>
      </c>
      <c r="D9" s="394">
        <v>194706</v>
      </c>
      <c r="E9" s="394">
        <v>173486</v>
      </c>
      <c r="F9" s="395">
        <f t="shared" ref="F9" si="0">+E9/D9*100</f>
        <v>89.101517159204136</v>
      </c>
    </row>
    <row r="10" spans="1:10" ht="24.95" customHeight="1" x14ac:dyDescent="0.3">
      <c r="A10" s="58"/>
      <c r="B10" s="258" t="s">
        <v>633</v>
      </c>
      <c r="C10" s="396">
        <v>464050</v>
      </c>
      <c r="D10" s="396">
        <v>887779</v>
      </c>
      <c r="E10" s="396">
        <v>667978</v>
      </c>
      <c r="F10" s="397">
        <f t="shared" ref="F10" si="1">+E10/D10*100</f>
        <v>75.241473384704989</v>
      </c>
    </row>
    <row r="11" spans="1:10" ht="24.95" customHeight="1" x14ac:dyDescent="0.3">
      <c r="A11" s="58"/>
      <c r="B11" s="259" t="s">
        <v>262</v>
      </c>
      <c r="C11" s="398">
        <v>262263</v>
      </c>
      <c r="D11" s="398">
        <v>521207</v>
      </c>
      <c r="E11" s="398">
        <v>455466</v>
      </c>
      <c r="F11" s="399">
        <f t="shared" ref="F11" si="2">+E11/D11*100</f>
        <v>87.386777230543728</v>
      </c>
    </row>
    <row r="12" spans="1:10" ht="24.95" customHeight="1" thickBot="1" x14ac:dyDescent="0.35">
      <c r="A12" s="58"/>
      <c r="B12" s="260" t="s">
        <v>440</v>
      </c>
      <c r="C12" s="400">
        <v>583755</v>
      </c>
      <c r="D12" s="400">
        <v>856936</v>
      </c>
      <c r="E12" s="400">
        <v>762953</v>
      </c>
      <c r="F12" s="401">
        <f t="shared" ref="F12" si="3">+E12/D12*100</f>
        <v>89.03266988433208</v>
      </c>
    </row>
    <row r="13" spans="1:10" ht="24.95" customHeight="1" thickBot="1" x14ac:dyDescent="0.35">
      <c r="A13" s="58"/>
      <c r="B13" s="168" t="s">
        <v>307</v>
      </c>
      <c r="C13" s="332">
        <f>SUM(C9:C12)</f>
        <v>1442063</v>
      </c>
      <c r="D13" s="332">
        <f>SUM(D9:D12)</f>
        <v>2460628</v>
      </c>
      <c r="E13" s="332">
        <f>SUM(E9:E12)</f>
        <v>2059883</v>
      </c>
      <c r="F13" s="402">
        <f>+E13/D13*100</f>
        <v>83.713710483665153</v>
      </c>
    </row>
    <row r="14" spans="1:10" ht="27" customHeight="1" x14ac:dyDescent="0.3">
      <c r="A14" s="58"/>
      <c r="B14" s="170" t="s">
        <v>627</v>
      </c>
      <c r="C14" s="309">
        <v>202324</v>
      </c>
      <c r="D14" s="309">
        <v>202324</v>
      </c>
      <c r="E14" s="309">
        <v>202324</v>
      </c>
      <c r="F14" s="310">
        <f t="shared" ref="F14:F17" si="4">+E14/D14*100</f>
        <v>100</v>
      </c>
    </row>
    <row r="15" spans="1:10" ht="38.25" customHeight="1" thickBot="1" x14ac:dyDescent="0.35">
      <c r="A15" s="58"/>
      <c r="B15" s="171" t="s">
        <v>411</v>
      </c>
      <c r="C15" s="328">
        <v>302075</v>
      </c>
      <c r="D15" s="328">
        <v>302075</v>
      </c>
      <c r="E15" s="328">
        <v>302075</v>
      </c>
      <c r="F15" s="313">
        <f t="shared" si="4"/>
        <v>100</v>
      </c>
    </row>
    <row r="16" spans="1:10" s="11" customFormat="1" ht="24.95" customHeight="1" thickBot="1" x14ac:dyDescent="0.35">
      <c r="A16" s="99"/>
      <c r="B16" s="168" t="s">
        <v>78</v>
      </c>
      <c r="C16" s="403">
        <f>SUM(C14:C15)</f>
        <v>504399</v>
      </c>
      <c r="D16" s="403">
        <f>SUM(D14:D15)</f>
        <v>504399</v>
      </c>
      <c r="E16" s="403">
        <f>SUM(E14:E15)</f>
        <v>504399</v>
      </c>
      <c r="F16" s="402">
        <f t="shared" si="4"/>
        <v>100</v>
      </c>
      <c r="G16" s="3"/>
      <c r="H16" s="3"/>
      <c r="I16" s="50"/>
      <c r="J16" s="50"/>
    </row>
    <row r="17" spans="1:6" ht="24.95" customHeight="1" thickBot="1" x14ac:dyDescent="0.35">
      <c r="A17" s="58"/>
      <c r="B17" s="172" t="s">
        <v>79</v>
      </c>
      <c r="C17" s="332">
        <f>+C13+C16</f>
        <v>1946462</v>
      </c>
      <c r="D17" s="332">
        <f>+D13+D16</f>
        <v>2965027</v>
      </c>
      <c r="E17" s="332">
        <f>+E13+E16</f>
        <v>2564282</v>
      </c>
      <c r="F17" s="402">
        <f t="shared" si="4"/>
        <v>86.484271475436813</v>
      </c>
    </row>
    <row r="18" spans="1:6" ht="24.95" customHeight="1" x14ac:dyDescent="0.3">
      <c r="A18" s="58"/>
      <c r="B18" s="173" t="s">
        <v>292</v>
      </c>
      <c r="C18" s="404"/>
      <c r="D18" s="404"/>
      <c r="E18" s="404"/>
      <c r="F18" s="405"/>
    </row>
    <row r="19" spans="1:6" ht="24.95" customHeight="1" x14ac:dyDescent="0.3">
      <c r="A19" s="58"/>
      <c r="B19" s="170" t="s">
        <v>246</v>
      </c>
      <c r="C19" s="406">
        <v>3000</v>
      </c>
      <c r="D19" s="406">
        <v>3000</v>
      </c>
      <c r="E19" s="407">
        <v>3000</v>
      </c>
      <c r="F19" s="408">
        <f t="shared" ref="F19:F38" si="5">+E19/D19*100</f>
        <v>100</v>
      </c>
    </row>
    <row r="20" spans="1:6" ht="24.95" customHeight="1" x14ac:dyDescent="0.3">
      <c r="A20" s="58"/>
      <c r="B20" s="174" t="s">
        <v>3</v>
      </c>
      <c r="C20" s="406">
        <v>1200</v>
      </c>
      <c r="D20" s="406">
        <v>1200</v>
      </c>
      <c r="E20" s="407">
        <v>1200</v>
      </c>
      <c r="F20" s="408">
        <f t="shared" si="5"/>
        <v>100</v>
      </c>
    </row>
    <row r="21" spans="1:6" ht="24.95" customHeight="1" x14ac:dyDescent="0.3">
      <c r="A21" s="58"/>
      <c r="B21" s="175" t="s">
        <v>127</v>
      </c>
      <c r="C21" s="409">
        <v>3000</v>
      </c>
      <c r="D21" s="409">
        <v>3000</v>
      </c>
      <c r="E21" s="410">
        <v>3000</v>
      </c>
      <c r="F21" s="408">
        <f t="shared" si="5"/>
        <v>100</v>
      </c>
    </row>
    <row r="22" spans="1:6" ht="24.95" customHeight="1" x14ac:dyDescent="0.3">
      <c r="A22" s="58"/>
      <c r="B22" s="174" t="s">
        <v>128</v>
      </c>
      <c r="C22" s="406">
        <v>4000</v>
      </c>
      <c r="D22" s="406">
        <v>4000</v>
      </c>
      <c r="E22" s="407">
        <v>4000</v>
      </c>
      <c r="F22" s="408">
        <f t="shared" si="5"/>
        <v>100</v>
      </c>
    </row>
    <row r="23" spans="1:6" ht="24.95" customHeight="1" x14ac:dyDescent="0.3">
      <c r="A23" s="58"/>
      <c r="B23" s="169" t="s">
        <v>129</v>
      </c>
      <c r="C23" s="409">
        <v>13000</v>
      </c>
      <c r="D23" s="409">
        <v>13000</v>
      </c>
      <c r="E23" s="410">
        <v>13000</v>
      </c>
      <c r="F23" s="408">
        <f t="shared" si="5"/>
        <v>100</v>
      </c>
    </row>
    <row r="24" spans="1:6" ht="24.95" customHeight="1" x14ac:dyDescent="0.3">
      <c r="A24" s="58"/>
      <c r="B24" s="174" t="s">
        <v>130</v>
      </c>
      <c r="C24" s="406">
        <v>1000</v>
      </c>
      <c r="D24" s="406">
        <v>1000</v>
      </c>
      <c r="E24" s="407">
        <v>1000</v>
      </c>
      <c r="F24" s="408">
        <f t="shared" si="5"/>
        <v>100</v>
      </c>
    </row>
    <row r="25" spans="1:6" ht="24.95" customHeight="1" x14ac:dyDescent="0.3">
      <c r="A25" s="58"/>
      <c r="B25" s="175" t="s">
        <v>131</v>
      </c>
      <c r="C25" s="409">
        <v>3000</v>
      </c>
      <c r="D25" s="409">
        <v>3000</v>
      </c>
      <c r="E25" s="410">
        <v>3000</v>
      </c>
      <c r="F25" s="408">
        <f t="shared" si="5"/>
        <v>100</v>
      </c>
    </row>
    <row r="26" spans="1:6" ht="24.95" customHeight="1" x14ac:dyDescent="0.3">
      <c r="A26" s="58"/>
      <c r="B26" s="175" t="s">
        <v>311</v>
      </c>
      <c r="C26" s="409">
        <v>2000</v>
      </c>
      <c r="D26" s="409">
        <v>2000</v>
      </c>
      <c r="E26" s="410">
        <v>2000</v>
      </c>
      <c r="F26" s="408">
        <f t="shared" si="5"/>
        <v>100</v>
      </c>
    </row>
    <row r="27" spans="1:6" ht="24.95" customHeight="1" x14ac:dyDescent="0.3">
      <c r="A27" s="58"/>
      <c r="B27" s="169" t="s">
        <v>4</v>
      </c>
      <c r="C27" s="411">
        <v>650</v>
      </c>
      <c r="D27" s="411">
        <v>650</v>
      </c>
      <c r="E27" s="412">
        <v>650</v>
      </c>
      <c r="F27" s="413">
        <f t="shared" si="5"/>
        <v>100</v>
      </c>
    </row>
    <row r="28" spans="1:6" ht="24.95" customHeight="1" x14ac:dyDescent="0.3">
      <c r="A28" s="58"/>
      <c r="B28" s="169" t="s">
        <v>16</v>
      </c>
      <c r="C28" s="414">
        <v>2000</v>
      </c>
      <c r="D28" s="414">
        <v>2000</v>
      </c>
      <c r="E28" s="415">
        <v>2000</v>
      </c>
      <c r="F28" s="413">
        <f t="shared" si="5"/>
        <v>100</v>
      </c>
    </row>
    <row r="29" spans="1:6" ht="24.95" customHeight="1" x14ac:dyDescent="0.3">
      <c r="A29" s="58"/>
      <c r="B29" s="169" t="s">
        <v>7</v>
      </c>
      <c r="C29" s="411">
        <v>6000</v>
      </c>
      <c r="D29" s="411">
        <v>6000</v>
      </c>
      <c r="E29" s="412">
        <v>6000</v>
      </c>
      <c r="F29" s="413">
        <f t="shared" si="5"/>
        <v>100</v>
      </c>
    </row>
    <row r="30" spans="1:6" ht="24.95" customHeight="1" x14ac:dyDescent="0.3">
      <c r="A30" s="58"/>
      <c r="B30" s="169" t="s">
        <v>459</v>
      </c>
      <c r="C30" s="411">
        <v>2000</v>
      </c>
      <c r="D30" s="411">
        <v>2000</v>
      </c>
      <c r="E30" s="412">
        <v>2000</v>
      </c>
      <c r="F30" s="413">
        <f t="shared" si="5"/>
        <v>100</v>
      </c>
    </row>
    <row r="31" spans="1:6" ht="24.95" customHeight="1" x14ac:dyDescent="0.3">
      <c r="A31" s="58"/>
      <c r="B31" s="175" t="s">
        <v>140</v>
      </c>
      <c r="C31" s="409">
        <v>1500</v>
      </c>
      <c r="D31" s="409">
        <v>1500</v>
      </c>
      <c r="E31" s="410">
        <v>1500</v>
      </c>
      <c r="F31" s="408">
        <f t="shared" si="5"/>
        <v>100</v>
      </c>
    </row>
    <row r="32" spans="1:6" ht="24.95" customHeight="1" x14ac:dyDescent="0.3">
      <c r="A32" s="58"/>
      <c r="B32" s="145" t="s">
        <v>218</v>
      </c>
      <c r="C32" s="411">
        <v>1600</v>
      </c>
      <c r="D32" s="411">
        <v>1600</v>
      </c>
      <c r="E32" s="412">
        <v>1600</v>
      </c>
      <c r="F32" s="408">
        <f t="shared" si="5"/>
        <v>100</v>
      </c>
    </row>
    <row r="33" spans="1:6" ht="42.75" customHeight="1" x14ac:dyDescent="0.3">
      <c r="A33" s="58"/>
      <c r="B33" s="175" t="s">
        <v>27</v>
      </c>
      <c r="C33" s="411">
        <v>1000</v>
      </c>
      <c r="D33" s="411">
        <v>1000</v>
      </c>
      <c r="E33" s="412">
        <v>1000</v>
      </c>
      <c r="F33" s="413">
        <f t="shared" si="5"/>
        <v>100</v>
      </c>
    </row>
    <row r="34" spans="1:6" ht="24.95" customHeight="1" x14ac:dyDescent="0.3">
      <c r="A34" s="58"/>
      <c r="B34" s="175" t="s">
        <v>312</v>
      </c>
      <c r="C34" s="409">
        <v>1200</v>
      </c>
      <c r="D34" s="409">
        <v>1200</v>
      </c>
      <c r="E34" s="410">
        <v>1200</v>
      </c>
      <c r="F34" s="408">
        <f t="shared" si="5"/>
        <v>100</v>
      </c>
    </row>
    <row r="35" spans="1:6" ht="47.25" customHeight="1" x14ac:dyDescent="0.3">
      <c r="A35" s="58"/>
      <c r="B35" s="175" t="s">
        <v>313</v>
      </c>
      <c r="C35" s="409">
        <v>1500</v>
      </c>
      <c r="D35" s="409">
        <v>1500</v>
      </c>
      <c r="E35" s="410">
        <v>1500</v>
      </c>
      <c r="F35" s="413">
        <f t="shared" si="5"/>
        <v>100</v>
      </c>
    </row>
    <row r="36" spans="1:6" ht="24.95" customHeight="1" x14ac:dyDescent="0.3">
      <c r="A36" s="58"/>
      <c r="B36" s="175" t="s">
        <v>303</v>
      </c>
      <c r="C36" s="409">
        <v>1000</v>
      </c>
      <c r="D36" s="409">
        <v>1000</v>
      </c>
      <c r="E36" s="410">
        <v>1000</v>
      </c>
      <c r="F36" s="408">
        <f t="shared" si="5"/>
        <v>100</v>
      </c>
    </row>
    <row r="37" spans="1:6" ht="24.95" customHeight="1" x14ac:dyDescent="0.3">
      <c r="A37" s="58"/>
      <c r="B37" s="169" t="s">
        <v>460</v>
      </c>
      <c r="C37" s="411">
        <v>1000</v>
      </c>
      <c r="D37" s="411">
        <v>1000</v>
      </c>
      <c r="E37" s="412">
        <v>1000</v>
      </c>
      <c r="F37" s="413">
        <f t="shared" si="5"/>
        <v>100</v>
      </c>
    </row>
    <row r="38" spans="1:6" ht="24.95" customHeight="1" x14ac:dyDescent="0.3">
      <c r="A38" s="58"/>
      <c r="B38" s="176" t="s">
        <v>559</v>
      </c>
      <c r="C38" s="416">
        <v>800</v>
      </c>
      <c r="D38" s="416">
        <v>800</v>
      </c>
      <c r="E38" s="417">
        <v>800</v>
      </c>
      <c r="F38" s="418">
        <f t="shared" si="5"/>
        <v>100</v>
      </c>
    </row>
    <row r="39" spans="1:6" ht="24.95" customHeight="1" thickBot="1" x14ac:dyDescent="0.35">
      <c r="A39" s="58"/>
      <c r="B39" s="177" t="s">
        <v>293</v>
      </c>
      <c r="C39" s="419">
        <f>SUM(C19:C38)</f>
        <v>50450</v>
      </c>
      <c r="D39" s="419">
        <f>SUM(D19:D38)</f>
        <v>50450</v>
      </c>
      <c r="E39" s="419">
        <f>SUM(E19:E38)</f>
        <v>50450</v>
      </c>
      <c r="F39" s="420">
        <f>+E39/D39*100</f>
        <v>100</v>
      </c>
    </row>
    <row r="40" spans="1:6" ht="24.75" customHeight="1" thickBot="1" x14ac:dyDescent="0.35">
      <c r="A40" s="58"/>
      <c r="B40" s="182" t="s">
        <v>241</v>
      </c>
      <c r="C40" s="421">
        <v>12000</v>
      </c>
      <c r="D40" s="421">
        <v>23837</v>
      </c>
      <c r="E40" s="421">
        <v>20363</v>
      </c>
      <c r="F40" s="420">
        <f>+E40/D40*100</f>
        <v>85.42601837479549</v>
      </c>
    </row>
    <row r="41" spans="1:6" ht="24.75" customHeight="1" thickBot="1" x14ac:dyDescent="0.35">
      <c r="A41" s="58"/>
      <c r="B41" s="168" t="s">
        <v>634</v>
      </c>
      <c r="C41" s="332">
        <f>SUM(C39:C40)</f>
        <v>62450</v>
      </c>
      <c r="D41" s="332">
        <f>SUM(D39:D40)</f>
        <v>74287</v>
      </c>
      <c r="E41" s="332">
        <f>SUM(E39:E40)</f>
        <v>70813</v>
      </c>
      <c r="F41" s="402">
        <f>+E41/D41*100</f>
        <v>95.323542477149431</v>
      </c>
    </row>
    <row r="42" spans="1:6" ht="24.75" customHeight="1" thickBot="1" x14ac:dyDescent="0.35">
      <c r="A42" s="58"/>
      <c r="B42" s="168" t="s">
        <v>505</v>
      </c>
      <c r="C42" s="332">
        <v>11400</v>
      </c>
      <c r="D42" s="332">
        <v>0</v>
      </c>
      <c r="E42" s="332">
        <v>0</v>
      </c>
      <c r="F42" s="402">
        <v>0</v>
      </c>
    </row>
    <row r="43" spans="1:6" ht="24.75" customHeight="1" x14ac:dyDescent="0.3">
      <c r="A43" s="58"/>
      <c r="B43" s="180" t="s">
        <v>524</v>
      </c>
      <c r="C43" s="421"/>
      <c r="D43" s="421"/>
      <c r="E43" s="421"/>
      <c r="F43" s="422"/>
    </row>
    <row r="44" spans="1:6" ht="24.75" customHeight="1" x14ac:dyDescent="0.3">
      <c r="A44" s="58"/>
      <c r="B44" s="181" t="s">
        <v>526</v>
      </c>
      <c r="C44" s="400">
        <v>28900</v>
      </c>
      <c r="D44" s="400">
        <v>30594</v>
      </c>
      <c r="E44" s="400">
        <v>30579</v>
      </c>
      <c r="F44" s="401">
        <f t="shared" ref="F44:F46" si="6">+E44/D44*100</f>
        <v>99.950970778584036</v>
      </c>
    </row>
    <row r="45" spans="1:6" ht="24.75" customHeight="1" x14ac:dyDescent="0.3">
      <c r="A45" s="58"/>
      <c r="B45" s="181" t="s">
        <v>592</v>
      </c>
      <c r="C45" s="400"/>
      <c r="D45" s="400">
        <v>7</v>
      </c>
      <c r="E45" s="400"/>
      <c r="F45" s="401"/>
    </row>
    <row r="46" spans="1:6" ht="24.75" customHeight="1" x14ac:dyDescent="0.3">
      <c r="A46" s="58"/>
      <c r="B46" s="181" t="s">
        <v>527</v>
      </c>
      <c r="C46" s="400">
        <v>5000</v>
      </c>
      <c r="D46" s="400">
        <v>5000</v>
      </c>
      <c r="E46" s="400">
        <v>4072</v>
      </c>
      <c r="F46" s="401">
        <f t="shared" si="6"/>
        <v>81.44</v>
      </c>
    </row>
    <row r="47" spans="1:6" ht="24.95" customHeight="1" thickBot="1" x14ac:dyDescent="0.35">
      <c r="A47" s="58"/>
      <c r="B47" s="182" t="s">
        <v>525</v>
      </c>
      <c r="C47" s="323">
        <f>SUM(C44:C46)</f>
        <v>33900</v>
      </c>
      <c r="D47" s="323">
        <f t="shared" ref="D47:E47" si="7">SUM(D44:D46)</f>
        <v>35601</v>
      </c>
      <c r="E47" s="323">
        <f t="shared" si="7"/>
        <v>34651</v>
      </c>
      <c r="F47" s="324">
        <f>+E47/D47*100</f>
        <v>97.331535631021609</v>
      </c>
    </row>
    <row r="48" spans="1:6" ht="24.95" customHeight="1" thickBot="1" x14ac:dyDescent="0.35">
      <c r="A48" s="58"/>
      <c r="B48" s="178" t="s">
        <v>80</v>
      </c>
      <c r="C48" s="323">
        <f>C42+C47</f>
        <v>45300</v>
      </c>
      <c r="D48" s="323">
        <f>D42+D47</f>
        <v>35601</v>
      </c>
      <c r="E48" s="323">
        <f>E42+E47</f>
        <v>34651</v>
      </c>
      <c r="F48" s="402">
        <f>+E48/D48*100</f>
        <v>97.331535631021609</v>
      </c>
    </row>
    <row r="49" spans="1:6" ht="24.95" customHeight="1" x14ac:dyDescent="0.3">
      <c r="A49" s="58"/>
      <c r="B49" s="179" t="s">
        <v>506</v>
      </c>
      <c r="C49" s="421"/>
      <c r="D49" s="421"/>
      <c r="E49" s="421"/>
      <c r="F49" s="422"/>
    </row>
    <row r="50" spans="1:6" ht="40.5" customHeight="1" x14ac:dyDescent="0.3">
      <c r="A50" s="58"/>
      <c r="B50" s="183" t="s">
        <v>242</v>
      </c>
      <c r="C50" s="338"/>
      <c r="D50" s="338"/>
      <c r="E50" s="338"/>
      <c r="F50" s="317"/>
    </row>
    <row r="51" spans="1:6" ht="24.95" customHeight="1" x14ac:dyDescent="0.3">
      <c r="A51" s="58"/>
      <c r="B51" s="175" t="s">
        <v>294</v>
      </c>
      <c r="C51" s="409">
        <v>2023</v>
      </c>
      <c r="D51" s="409">
        <v>2158</v>
      </c>
      <c r="E51" s="410">
        <v>1596</v>
      </c>
      <c r="F51" s="408">
        <f t="shared" ref="F51:F58" si="8">+E51/D51*100</f>
        <v>73.957367933271541</v>
      </c>
    </row>
    <row r="52" spans="1:6" ht="24.95" customHeight="1" x14ac:dyDescent="0.3">
      <c r="A52" s="58"/>
      <c r="B52" s="175" t="s">
        <v>604</v>
      </c>
      <c r="C52" s="409">
        <v>34633</v>
      </c>
      <c r="D52" s="409">
        <v>34633</v>
      </c>
      <c r="E52" s="410">
        <v>34633</v>
      </c>
      <c r="F52" s="408">
        <f t="shared" si="8"/>
        <v>100</v>
      </c>
    </row>
    <row r="53" spans="1:6" ht="24.95" customHeight="1" x14ac:dyDescent="0.3">
      <c r="A53" s="58"/>
      <c r="B53" s="175" t="s">
        <v>461</v>
      </c>
      <c r="C53" s="409">
        <v>300</v>
      </c>
      <c r="D53" s="409">
        <v>300</v>
      </c>
      <c r="E53" s="410">
        <v>300</v>
      </c>
      <c r="F53" s="408">
        <f t="shared" si="8"/>
        <v>100</v>
      </c>
    </row>
    <row r="54" spans="1:6" ht="24.95" customHeight="1" x14ac:dyDescent="0.3">
      <c r="A54" s="58"/>
      <c r="B54" s="175" t="s">
        <v>420</v>
      </c>
      <c r="C54" s="409">
        <v>6000</v>
      </c>
      <c r="D54" s="409">
        <v>8418</v>
      </c>
      <c r="E54" s="410">
        <v>4848</v>
      </c>
      <c r="F54" s="408">
        <f t="shared" si="8"/>
        <v>57.590876692801139</v>
      </c>
    </row>
    <row r="55" spans="1:6" ht="24.95" customHeight="1" x14ac:dyDescent="0.3">
      <c r="A55" s="58"/>
      <c r="B55" s="175" t="s">
        <v>528</v>
      </c>
      <c r="C55" s="409">
        <v>5000</v>
      </c>
      <c r="D55" s="409">
        <v>5000</v>
      </c>
      <c r="E55" s="410">
        <v>5000</v>
      </c>
      <c r="F55" s="408">
        <f t="shared" si="8"/>
        <v>100</v>
      </c>
    </row>
    <row r="56" spans="1:6" ht="24.95" customHeight="1" x14ac:dyDescent="0.3">
      <c r="A56" s="58"/>
      <c r="B56" s="175" t="s">
        <v>475</v>
      </c>
      <c r="C56" s="409"/>
      <c r="D56" s="409">
        <v>3310</v>
      </c>
      <c r="E56" s="410">
        <v>3310</v>
      </c>
      <c r="F56" s="408">
        <f t="shared" si="8"/>
        <v>100</v>
      </c>
    </row>
    <row r="57" spans="1:6" ht="24.95" customHeight="1" thickBot="1" x14ac:dyDescent="0.35">
      <c r="A57" s="58"/>
      <c r="B57" s="175" t="s">
        <v>492</v>
      </c>
      <c r="C57" s="409"/>
      <c r="D57" s="409">
        <v>13347</v>
      </c>
      <c r="E57" s="410">
        <v>13347</v>
      </c>
      <c r="F57" s="408">
        <f t="shared" si="8"/>
        <v>100</v>
      </c>
    </row>
    <row r="58" spans="1:6" ht="24.95" customHeight="1" thickBot="1" x14ac:dyDescent="0.35">
      <c r="A58" s="58"/>
      <c r="B58" s="178" t="s">
        <v>635</v>
      </c>
      <c r="C58" s="323">
        <f>SUM(C51:C57)</f>
        <v>47956</v>
      </c>
      <c r="D58" s="323">
        <f>SUM(D51:D57)</f>
        <v>67166</v>
      </c>
      <c r="E58" s="323">
        <f>SUM(E50:E57)</f>
        <v>63034</v>
      </c>
      <c r="F58" s="402">
        <f t="shared" si="8"/>
        <v>93.848077896554798</v>
      </c>
    </row>
    <row r="59" spans="1:6" ht="24.95" customHeight="1" x14ac:dyDescent="0.3">
      <c r="A59" s="58"/>
      <c r="B59" s="180" t="s">
        <v>177</v>
      </c>
      <c r="C59" s="421"/>
      <c r="D59" s="421"/>
      <c r="E59" s="421"/>
      <c r="F59" s="422"/>
    </row>
    <row r="60" spans="1:6" ht="24.95" customHeight="1" x14ac:dyDescent="0.3">
      <c r="A60" s="58"/>
      <c r="B60" s="184" t="s">
        <v>372</v>
      </c>
      <c r="C60" s="409">
        <v>2084</v>
      </c>
      <c r="D60" s="409">
        <v>3399</v>
      </c>
      <c r="E60" s="409">
        <v>2977</v>
      </c>
      <c r="F60" s="424">
        <f>+E60/D60*100</f>
        <v>87.584583701088562</v>
      </c>
    </row>
    <row r="61" spans="1:6" ht="24.95" customHeight="1" thickBot="1" x14ac:dyDescent="0.35">
      <c r="A61" s="58"/>
      <c r="B61" s="178" t="s">
        <v>193</v>
      </c>
      <c r="C61" s="323">
        <f>SUM(C60:C60)</f>
        <v>2084</v>
      </c>
      <c r="D61" s="323">
        <f>SUM(D60:D60)</f>
        <v>3399</v>
      </c>
      <c r="E61" s="323">
        <f>SUM(E60:E60)</f>
        <v>2977</v>
      </c>
      <c r="F61" s="324">
        <f>+E61/D61*100</f>
        <v>87.584583701088562</v>
      </c>
    </row>
    <row r="62" spans="1:6" ht="24.75" customHeight="1" thickBot="1" x14ac:dyDescent="0.35">
      <c r="A62" s="58"/>
      <c r="B62" s="178" t="s">
        <v>194</v>
      </c>
      <c r="C62" s="323">
        <f>C58+C61</f>
        <v>50040</v>
      </c>
      <c r="D62" s="323">
        <f>D58+D61</f>
        <v>70565</v>
      </c>
      <c r="E62" s="323">
        <f>E58+E61</f>
        <v>66011</v>
      </c>
      <c r="F62" s="402">
        <f>+E62/D62*100</f>
        <v>93.546375681995315</v>
      </c>
    </row>
    <row r="63" spans="1:6" ht="24.75" customHeight="1" x14ac:dyDescent="0.3">
      <c r="A63" s="58"/>
      <c r="B63" s="179" t="s">
        <v>195</v>
      </c>
      <c r="C63" s="421"/>
      <c r="D63" s="421"/>
      <c r="E63" s="421"/>
      <c r="F63" s="422"/>
    </row>
    <row r="64" spans="1:6" ht="24.75" customHeight="1" thickBot="1" x14ac:dyDescent="0.35">
      <c r="A64" s="58"/>
      <c r="B64" s="169" t="s">
        <v>529</v>
      </c>
      <c r="C64" s="312">
        <v>270000</v>
      </c>
      <c r="D64" s="312">
        <v>344549</v>
      </c>
      <c r="E64" s="314">
        <v>344549</v>
      </c>
      <c r="F64" s="425">
        <f t="shared" ref="F64:F67" si="9">+E64/D64*100</f>
        <v>100</v>
      </c>
    </row>
    <row r="65" spans="1:6" ht="24.95" customHeight="1" thickBot="1" x14ac:dyDescent="0.35">
      <c r="A65" s="58"/>
      <c r="B65" s="178" t="s">
        <v>196</v>
      </c>
      <c r="C65" s="323">
        <f>SUM(C64:C64)</f>
        <v>270000</v>
      </c>
      <c r="D65" s="323">
        <f>SUM(D64:D64)</f>
        <v>344549</v>
      </c>
      <c r="E65" s="323">
        <f>SUM(E64:E64)</f>
        <v>344549</v>
      </c>
      <c r="F65" s="402">
        <f t="shared" si="9"/>
        <v>100</v>
      </c>
    </row>
    <row r="66" spans="1:6" ht="24.95" customHeight="1" thickBot="1" x14ac:dyDescent="0.35">
      <c r="A66" s="58"/>
      <c r="B66" s="178" t="s">
        <v>295</v>
      </c>
      <c r="C66" s="423">
        <f>+C40+C48+C62+C65</f>
        <v>377340</v>
      </c>
      <c r="D66" s="423">
        <f>+D40+D48+D62+D65</f>
        <v>474552</v>
      </c>
      <c r="E66" s="423">
        <f>+E40+E48+E62+E65</f>
        <v>465574</v>
      </c>
      <c r="F66" s="402">
        <f t="shared" si="9"/>
        <v>98.108110386216893</v>
      </c>
    </row>
    <row r="67" spans="1:6" ht="24.95" customHeight="1" thickBot="1" x14ac:dyDescent="0.35">
      <c r="A67" s="58"/>
      <c r="B67" s="168" t="s">
        <v>330</v>
      </c>
      <c r="C67" s="332">
        <f>+C17+C41+C48+C62+C65</f>
        <v>2374252</v>
      </c>
      <c r="D67" s="332">
        <f>+D17+D41+D48+D62+D65</f>
        <v>3490029</v>
      </c>
      <c r="E67" s="332">
        <f>+E17+E41+E48+E62+E65</f>
        <v>3080306</v>
      </c>
      <c r="F67" s="402">
        <f t="shared" si="9"/>
        <v>88.260183511369107</v>
      </c>
    </row>
    <row r="68" spans="1:6" ht="15" customHeight="1" x14ac:dyDescent="0.25">
      <c r="A68" s="58"/>
      <c r="B68" s="58"/>
      <c r="C68" s="58"/>
      <c r="D68" s="58"/>
      <c r="E68" s="58"/>
      <c r="F68" s="58"/>
    </row>
    <row r="69" spans="1:6" ht="15" customHeight="1" x14ac:dyDescent="0.25">
      <c r="A69" s="58"/>
      <c r="B69" s="58"/>
      <c r="C69" s="58"/>
      <c r="D69" s="58"/>
      <c r="E69" s="152"/>
      <c r="F69" s="58"/>
    </row>
    <row r="70" spans="1:6" ht="24.75" customHeight="1" thickBot="1" x14ac:dyDescent="0.3">
      <c r="A70" s="58"/>
      <c r="B70" s="80" t="s">
        <v>18</v>
      </c>
      <c r="C70" s="61"/>
      <c r="D70" s="61"/>
      <c r="E70" s="61"/>
      <c r="F70" s="61"/>
    </row>
    <row r="71" spans="1:6" ht="24.75" customHeight="1" x14ac:dyDescent="0.25">
      <c r="A71" s="58"/>
      <c r="B71" s="66" t="s">
        <v>31</v>
      </c>
      <c r="C71" s="2072" t="s">
        <v>515</v>
      </c>
      <c r="D71" s="2072"/>
      <c r="E71" s="709" t="s">
        <v>340</v>
      </c>
      <c r="F71" s="710" t="s">
        <v>100</v>
      </c>
    </row>
    <row r="72" spans="1:6" ht="24.75" customHeight="1" thickBot="1" x14ac:dyDescent="0.3">
      <c r="A72" s="58"/>
      <c r="B72" s="70"/>
      <c r="C72" s="143" t="s">
        <v>202</v>
      </c>
      <c r="D72" s="711" t="s">
        <v>98</v>
      </c>
      <c r="E72" s="712" t="s">
        <v>99</v>
      </c>
      <c r="F72" s="712" t="s">
        <v>101</v>
      </c>
    </row>
    <row r="73" spans="1:6" ht="24.75" customHeight="1" x14ac:dyDescent="0.3">
      <c r="A73" s="58"/>
      <c r="B73" s="261" t="s">
        <v>77</v>
      </c>
      <c r="C73" s="293"/>
      <c r="D73" s="349"/>
      <c r="E73" s="350"/>
      <c r="F73" s="350"/>
    </row>
    <row r="74" spans="1:6" ht="24.75" customHeight="1" x14ac:dyDescent="0.3">
      <c r="A74" s="58"/>
      <c r="B74" s="262" t="s">
        <v>240</v>
      </c>
      <c r="C74" s="338">
        <v>0</v>
      </c>
      <c r="D74" s="338">
        <v>26738</v>
      </c>
      <c r="E74" s="338">
        <v>26708</v>
      </c>
      <c r="F74" s="338">
        <f t="shared" ref="F74:F78" si="10">+E74/D74*100</f>
        <v>99.887800134639832</v>
      </c>
    </row>
    <row r="75" spans="1:6" ht="24.75" customHeight="1" x14ac:dyDescent="0.3">
      <c r="A75" s="58"/>
      <c r="B75" s="167" t="s">
        <v>636</v>
      </c>
      <c r="C75" s="426">
        <v>0</v>
      </c>
      <c r="D75" s="354">
        <v>47793</v>
      </c>
      <c r="E75" s="354">
        <v>1969</v>
      </c>
      <c r="F75" s="354">
        <f t="shared" si="10"/>
        <v>4.119850187265917</v>
      </c>
    </row>
    <row r="76" spans="1:6" ht="24.75" customHeight="1" x14ac:dyDescent="0.3">
      <c r="A76" s="58"/>
      <c r="B76" s="263" t="s">
        <v>637</v>
      </c>
      <c r="C76" s="427">
        <v>0</v>
      </c>
      <c r="D76" s="427">
        <v>19690</v>
      </c>
      <c r="E76" s="427">
        <v>16847</v>
      </c>
      <c r="F76" s="427">
        <f t="shared" si="10"/>
        <v>85.561198577958351</v>
      </c>
    </row>
    <row r="77" spans="1:6" ht="24.75" customHeight="1" thickBot="1" x14ac:dyDescent="0.35">
      <c r="A77" s="58"/>
      <c r="B77" s="264" t="s">
        <v>2</v>
      </c>
      <c r="C77" s="428">
        <v>0</v>
      </c>
      <c r="D77" s="428">
        <v>23492</v>
      </c>
      <c r="E77" s="428">
        <v>20298</v>
      </c>
      <c r="F77" s="428">
        <f t="shared" si="10"/>
        <v>86.403882172654519</v>
      </c>
    </row>
    <row r="78" spans="1:6" ht="24.75" customHeight="1" thickBot="1" x14ac:dyDescent="0.35">
      <c r="A78" s="58"/>
      <c r="B78" s="121" t="s">
        <v>352</v>
      </c>
      <c r="C78" s="325">
        <f>SUM(C74:C77)</f>
        <v>0</v>
      </c>
      <c r="D78" s="325">
        <f>SUM(D74:D77)</f>
        <v>117713</v>
      </c>
      <c r="E78" s="325">
        <f>SUM(E74:E77)</f>
        <v>65822</v>
      </c>
      <c r="F78" s="332">
        <f t="shared" si="10"/>
        <v>55.917358320661272</v>
      </c>
    </row>
    <row r="79" spans="1:6" ht="15" customHeight="1" thickBot="1" x14ac:dyDescent="0.35">
      <c r="A79" s="58"/>
      <c r="B79" s="94"/>
      <c r="C79" s="337"/>
      <c r="D79" s="337"/>
      <c r="E79" s="384"/>
      <c r="F79" s="429"/>
    </row>
    <row r="80" spans="1:6" ht="21.75" customHeight="1" thickBot="1" x14ac:dyDescent="0.35">
      <c r="A80" s="58"/>
      <c r="B80" s="168" t="s">
        <v>353</v>
      </c>
      <c r="C80" s="430">
        <f>+C67+C78</f>
        <v>2374252</v>
      </c>
      <c r="D80" s="430">
        <f>+D67+D78</f>
        <v>3607742</v>
      </c>
      <c r="E80" s="430">
        <f>+E67+E78</f>
        <v>3146128</v>
      </c>
      <c r="F80" s="402">
        <f>+E80/D80*100</f>
        <v>87.204905450556055</v>
      </c>
    </row>
    <row r="81" spans="4:6" ht="15" customHeight="1" x14ac:dyDescent="0.2">
      <c r="E81" s="3"/>
    </row>
    <row r="82" spans="4:6" ht="15" customHeight="1" x14ac:dyDescent="0.2">
      <c r="E82" s="3"/>
      <c r="F82" s="3"/>
    </row>
    <row r="83" spans="4:6" ht="15" customHeight="1" x14ac:dyDescent="0.2">
      <c r="D83" s="3"/>
      <c r="E83" s="3"/>
      <c r="F83" s="3"/>
    </row>
    <row r="86" spans="4:6" ht="15" customHeight="1" x14ac:dyDescent="0.2">
      <c r="E86" s="3"/>
    </row>
    <row r="87" spans="4:6" ht="15" customHeight="1" x14ac:dyDescent="0.2">
      <c r="E87" s="3"/>
    </row>
  </sheetData>
  <mergeCells count="3">
    <mergeCell ref="C5:D5"/>
    <mergeCell ref="C71:D71"/>
    <mergeCell ref="B2:F2"/>
  </mergeCells>
  <phoneticPr fontId="0" type="noConversion"/>
  <printOptions horizontalCentered="1" verticalCentered="1"/>
  <pageMargins left="0" right="0" top="0" bottom="0" header="0.51181102362204722" footer="0.51181102362204722"/>
  <pageSetup paperSize="9" scale="70" orientation="portrait" r:id="rId1"/>
  <headerFooter alignWithMargins="0">
    <oddHeader xml:space="preserve">&amp;R&amp;"Calibri,Félkövér"&amp;11 9. melléklet a 13/2023. (V.26.) önkormányzati rendelethez </oddHeader>
  </headerFooter>
  <rowBreaks count="1" manualBreakCount="1">
    <brk id="39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30</vt:i4>
      </vt:variant>
      <vt:variant>
        <vt:lpstr>Névvel ellátott tartományok</vt:lpstr>
      </vt:variant>
      <vt:variant>
        <vt:i4>40</vt:i4>
      </vt:variant>
    </vt:vector>
  </HeadingPairs>
  <TitlesOfParts>
    <vt:vector size="70" baseType="lpstr">
      <vt:lpstr>1 kiemelt előirányzatok telj. </vt:lpstr>
      <vt:lpstr>2 mérleg </vt:lpstr>
      <vt:lpstr>3 bev.részl</vt:lpstr>
      <vt:lpstr>4. int.bev.</vt:lpstr>
      <vt:lpstr>5 normatíva</vt:lpstr>
      <vt:lpstr>6. int,kiad.</vt:lpstr>
      <vt:lpstr>7.létszám ei zárás 2022 év</vt:lpstr>
      <vt:lpstr>8 okt.</vt:lpstr>
      <vt:lpstr>9 kult.</vt:lpstr>
      <vt:lpstr>10 szoc.</vt:lpstr>
      <vt:lpstr>11 eü.</vt:lpstr>
      <vt:lpstr>12 Gyerm.</vt:lpstr>
      <vt:lpstr>13 egyéb</vt:lpstr>
      <vt:lpstr>14 sport</vt:lpstr>
      <vt:lpstr>15 város.ü.,körny</vt:lpstr>
      <vt:lpstr>16 út-híd</vt:lpstr>
      <vt:lpstr>17 fbev.</vt:lpstr>
      <vt:lpstr>18 fkia.</vt:lpstr>
      <vt:lpstr>19 pénzeszkváltsa</vt:lpstr>
      <vt:lpstr>20 közvetett támogatás</vt:lpstr>
      <vt:lpstr>21 Eu projektek</vt:lpstr>
      <vt:lpstr>22 többév1</vt:lpstr>
      <vt:lpstr>23 eszközök</vt:lpstr>
      <vt:lpstr>24 források</vt:lpstr>
      <vt:lpstr>25 lakásalapelsz</vt:lpstr>
      <vt:lpstr>26 segély</vt:lpstr>
      <vt:lpstr>27 kataszter</vt:lpstr>
      <vt:lpstr>28 vagyonkimutatás </vt:lpstr>
      <vt:lpstr>29 Részesedések</vt:lpstr>
      <vt:lpstr>30 Lízing</vt:lpstr>
      <vt:lpstr>'13 egyéb'!Nyomtatási_cím</vt:lpstr>
      <vt:lpstr>'14 sport'!Nyomtatási_cím</vt:lpstr>
      <vt:lpstr>'17 fbev.'!Nyomtatási_cím</vt:lpstr>
      <vt:lpstr>'18 fkia.'!Nyomtatási_cím</vt:lpstr>
      <vt:lpstr>'19 pénzeszkváltsa'!Nyomtatási_cím</vt:lpstr>
      <vt:lpstr>'28 vagyonkimutatás '!Nyomtatási_cím</vt:lpstr>
      <vt:lpstr>'3 bev.részl'!Nyomtatási_cím</vt:lpstr>
      <vt:lpstr>'5 normatíva'!Nyomtatási_cím</vt:lpstr>
      <vt:lpstr>'7.létszám ei zárás 2022 év'!Nyomtatási_cím</vt:lpstr>
      <vt:lpstr>'9 kult.'!Nyomtatási_cím</vt:lpstr>
      <vt:lpstr>'1 kiemelt előirányzatok telj. '!Nyomtatási_terület</vt:lpstr>
      <vt:lpstr>'10 szoc.'!Nyomtatási_terület</vt:lpstr>
      <vt:lpstr>'11 eü.'!Nyomtatási_terület</vt:lpstr>
      <vt:lpstr>'12 Gyerm.'!Nyomtatási_terület</vt:lpstr>
      <vt:lpstr>'13 egyéb'!Nyomtatási_terület</vt:lpstr>
      <vt:lpstr>'14 sport'!Nyomtatási_terület</vt:lpstr>
      <vt:lpstr>'15 város.ü.,körny'!Nyomtatási_terület</vt:lpstr>
      <vt:lpstr>'16 út-híd'!Nyomtatási_terület</vt:lpstr>
      <vt:lpstr>'17 fbev.'!Nyomtatási_terület</vt:lpstr>
      <vt:lpstr>'18 fkia.'!Nyomtatási_terület</vt:lpstr>
      <vt:lpstr>'19 pénzeszkváltsa'!Nyomtatási_terület</vt:lpstr>
      <vt:lpstr>'2 mérleg '!Nyomtatási_terület</vt:lpstr>
      <vt:lpstr>'20 közvetett támogatás'!Nyomtatási_terület</vt:lpstr>
      <vt:lpstr>'21 Eu projektek'!Nyomtatási_terület</vt:lpstr>
      <vt:lpstr>'22 többév1'!Nyomtatási_terület</vt:lpstr>
      <vt:lpstr>'23 eszközök'!Nyomtatási_terület</vt:lpstr>
      <vt:lpstr>'24 források'!Nyomtatási_terület</vt:lpstr>
      <vt:lpstr>'25 lakásalapelsz'!Nyomtatási_terület</vt:lpstr>
      <vt:lpstr>'26 segély'!Nyomtatási_terület</vt:lpstr>
      <vt:lpstr>'27 kataszter'!Nyomtatási_terület</vt:lpstr>
      <vt:lpstr>'28 vagyonkimutatás '!Nyomtatási_terület</vt:lpstr>
      <vt:lpstr>'29 Részesedések'!Nyomtatási_terület</vt:lpstr>
      <vt:lpstr>'3 bev.részl'!Nyomtatási_terület</vt:lpstr>
      <vt:lpstr>'30 Lízing'!Nyomtatási_terület</vt:lpstr>
      <vt:lpstr>'4. int.bev.'!Nyomtatási_terület</vt:lpstr>
      <vt:lpstr>'5 normatíva'!Nyomtatási_terület</vt:lpstr>
      <vt:lpstr>'6. int,kiad.'!Nyomtatási_terület</vt:lpstr>
      <vt:lpstr>'7.létszám ei zárás 2022 év'!Nyomtatási_terület</vt:lpstr>
      <vt:lpstr>'8 okt.'!Nyomtatási_terület</vt:lpstr>
      <vt:lpstr>'9 kult.'!Nyomtatási_terület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Stéger Gábor</dc:creator>
  <cp:lastModifiedBy>Szalai Gergő dr.</cp:lastModifiedBy>
  <cp:lastPrinted>2023-05-26T06:57:28Z</cp:lastPrinted>
  <dcterms:created xsi:type="dcterms:W3CDTF">1998-01-10T07:52:54Z</dcterms:created>
  <dcterms:modified xsi:type="dcterms:W3CDTF">2023-05-26T06:58:49Z</dcterms:modified>
</cp:coreProperties>
</file>